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ipe" sheetId="1" r:id="rId3"/>
    <sheet state="visible" name="Materials" sheetId="2" r:id="rId4"/>
    <sheet state="visible" name="Weapons" sheetId="3" r:id="rId5"/>
    <sheet state="visible" name="ShieldHead" sheetId="4" r:id="rId6"/>
    <sheet state="visible" name="Armour" sheetId="5" r:id="rId7"/>
    <sheet state="visible" name="Accessories" sheetId="6" r:id="rId8"/>
    <sheet state="visible" name="Items" sheetId="7" r:id="rId9"/>
    <sheet state="visible" name="Bestiary" sheetId="8" r:id="rId10"/>
    <sheet state="visible" name="Quest" sheetId="9" r:id="rId11"/>
    <sheet state="visible" name="Mini Medals" sheetId="10" r:id="rId12"/>
    <sheet state="visible" name="Casino, Horse Race" sheetId="11" r:id="rId13"/>
    <sheet state="visible" name="Locked Doors" sheetId="12" r:id="rId14"/>
    <sheet state="visible" name="Exp, Gold, Seed Farm" sheetId="13" r:id="rId15"/>
    <sheet state="visible" name="Postgame Events" sheetId="14" r:id="rId16"/>
    <sheet state="visible" name="Postgame Gear" sheetId="15" r:id="rId17"/>
    <sheet state="visible" name="Pep Powers" sheetId="16" r:id="rId18"/>
    <sheet state="visible" name="Trophy Lists" sheetId="17" r:id="rId19"/>
    <sheet state="visible" name="Accolades" sheetId="18" r:id="rId20"/>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sz val="10.0"/>
      <color rgb="FF000000"/>
      <name val="Arial"/>
    </font>
    <font>
      <b/>
      <color rgb="FF000000"/>
    </font>
    <font>
      <b/>
    </font>
    <font/>
    <font>
      <color rgb="FF000000"/>
    </font>
    <font>
      <color rgb="FFFF0000"/>
    </font>
    <font>
      <sz val="9.0"/>
      <color rgb="FFFF0000"/>
    </font>
    <font>
      <sz val="10.0"/>
    </font>
    <font>
      <sz val="9.0"/>
    </font>
    <font>
      <color rgb="FF000000"/>
      <name val="Arial"/>
    </font>
    <font>
      <b/>
      <color rgb="FF000000"/>
      <name val="Arial"/>
    </font>
    <font>
      <b/>
      <name val="Arial"/>
    </font>
    <font>
      <color rgb="FFFF00FF"/>
    </font>
    <font>
      <sz val="9.0"/>
      <color rgb="FFFF00FF"/>
    </font>
    <font>
      <sz val="9.0"/>
      <color rgb="FF000000"/>
    </font>
    <font>
      <name val="Arial"/>
    </font>
    <font>
      <color rgb="FFFF0000"/>
      <name val="Arial"/>
    </font>
    <font>
      <sz val="10.0"/>
      <name val="Arial"/>
    </font>
    <font>
      <b/>
      <sz val="12.0"/>
      <name val="Arial"/>
    </font>
    <font>
      <sz val="10.0"/>
      <color rgb="FFFF0000"/>
      <name val="Arial"/>
    </font>
    <font>
      <sz val="11.0"/>
    </font>
    <font>
      <sz val="11.0"/>
      <color rgb="FF000000"/>
      <name val="Arial"/>
    </font>
    <font>
      <b/>
      <sz val="10.0"/>
      <name val="Arial"/>
    </font>
    <font>
      <u/>
      <color rgb="FF0000FF"/>
    </font>
  </fonts>
  <fills count="8">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rgb="FF00FFFF"/>
        <bgColor rgb="FF00FFFF"/>
      </patternFill>
    </fill>
    <fill>
      <patternFill patternType="solid">
        <fgColor rgb="FFBDBDBD"/>
        <bgColor rgb="FFBDBDBD"/>
      </patternFill>
    </fill>
    <fill>
      <patternFill patternType="solid">
        <fgColor rgb="FFF3F3F3"/>
        <bgColor rgb="FFF3F3F3"/>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2" numFmtId="0" xfId="0" applyAlignment="1" applyBorder="1" applyFont="1">
      <alignment horizontal="center" readingOrder="0" vertical="center"/>
    </xf>
    <xf borderId="2" fillId="2" fontId="3" numFmtId="0" xfId="0" applyAlignment="1" applyBorder="1" applyFont="1">
      <alignment horizontal="center" readingOrder="0" vertical="top"/>
    </xf>
    <xf borderId="3" fillId="2" fontId="4" numFmtId="0" xfId="0" applyBorder="1" applyFont="1"/>
    <xf borderId="4" fillId="2" fontId="4" numFmtId="0" xfId="0" applyBorder="1" applyFont="1"/>
    <xf borderId="2" fillId="3" fontId="3" numFmtId="0" xfId="0" applyAlignment="1" applyBorder="1" applyFill="1" applyFont="1">
      <alignment horizontal="center" readingOrder="0" vertical="center"/>
    </xf>
    <xf borderId="3" fillId="3" fontId="4" numFmtId="0" xfId="0" applyBorder="1" applyFont="1"/>
    <xf borderId="4" fillId="3" fontId="4" numFmtId="0" xfId="0" applyBorder="1" applyFont="1"/>
    <xf borderId="1" fillId="4" fontId="4" numFmtId="0" xfId="0" applyAlignment="1" applyBorder="1" applyFill="1" applyFont="1">
      <alignment readingOrder="0" vertical="center"/>
    </xf>
    <xf borderId="1" fillId="4" fontId="5" numFmtId="0" xfId="0" applyAlignment="1" applyBorder="1" applyFont="1">
      <alignment readingOrder="0" vertical="center"/>
    </xf>
    <xf borderId="1" fillId="4" fontId="4" numFmtId="0" xfId="0" applyAlignment="1" applyBorder="1" applyFont="1">
      <alignment horizontal="center" readingOrder="0" vertical="top"/>
    </xf>
    <xf borderId="1" fillId="4" fontId="4" numFmtId="0" xfId="0" applyAlignment="1" applyBorder="1" applyFont="1">
      <alignment horizontal="center" vertical="top"/>
    </xf>
    <xf borderId="1" fillId="3" fontId="4" numFmtId="0" xfId="0" applyAlignment="1" applyBorder="1" applyFont="1">
      <alignment readingOrder="0" vertical="center"/>
    </xf>
    <xf borderId="1" fillId="3" fontId="5" numFmtId="0" xfId="0" applyAlignment="1" applyBorder="1" applyFont="1">
      <alignment readingOrder="0" vertical="center"/>
    </xf>
    <xf borderId="1" fillId="3" fontId="4" numFmtId="0" xfId="0" applyAlignment="1" applyBorder="1" applyFont="1">
      <alignment horizontal="center" readingOrder="0" vertical="top"/>
    </xf>
    <xf borderId="1" fillId="3" fontId="4" numFmtId="0" xfId="0" applyAlignment="1" applyBorder="1" applyFont="1">
      <alignment horizontal="center" vertical="top"/>
    </xf>
    <xf borderId="1" fillId="4" fontId="6" numFmtId="0" xfId="0" applyAlignment="1" applyBorder="1" applyFont="1">
      <alignment readingOrder="0" vertical="center"/>
    </xf>
    <xf borderId="1" fillId="4" fontId="6" numFmtId="0" xfId="0" applyAlignment="1" applyBorder="1" applyFont="1">
      <alignment horizontal="center" readingOrder="0" vertical="top"/>
    </xf>
    <xf borderId="1" fillId="4" fontId="6" numFmtId="0" xfId="0" applyAlignment="1" applyBorder="1" applyFont="1">
      <alignment horizontal="center" vertical="top"/>
    </xf>
    <xf borderId="1" fillId="3" fontId="6" numFmtId="0" xfId="0" applyAlignment="1" applyBorder="1" applyFont="1">
      <alignment readingOrder="0" vertical="center"/>
    </xf>
    <xf borderId="1" fillId="3" fontId="6" numFmtId="0" xfId="0" applyAlignment="1" applyBorder="1" applyFont="1">
      <alignment horizontal="center" readingOrder="0" vertical="top"/>
    </xf>
    <xf borderId="1" fillId="3" fontId="6" numFmtId="0" xfId="0" applyAlignment="1" applyBorder="1" applyFont="1">
      <alignment horizontal="center" vertical="top"/>
    </xf>
    <xf borderId="2" fillId="5" fontId="3" numFmtId="0" xfId="0" applyAlignment="1" applyBorder="1" applyFill="1" applyFont="1">
      <alignment horizontal="center" readingOrder="0" vertical="center"/>
    </xf>
    <xf borderId="3" fillId="4" fontId="4" numFmtId="0" xfId="0" applyBorder="1" applyFont="1"/>
    <xf borderId="4" fillId="4" fontId="4" numFmtId="0" xfId="0" applyBorder="1" applyFont="1"/>
    <xf borderId="1" fillId="5" fontId="4" numFmtId="0" xfId="0" applyAlignment="1" applyBorder="1" applyFont="1">
      <alignment horizontal="center" vertical="top"/>
    </xf>
    <xf borderId="1" fillId="3" fontId="7" numFmtId="0" xfId="0" applyAlignment="1" applyBorder="1" applyFont="1">
      <alignment horizontal="center" readingOrder="0" vertical="center"/>
    </xf>
    <xf borderId="1" fillId="2" fontId="3" numFmtId="0" xfId="0" applyAlignment="1" applyBorder="1" applyFont="1">
      <alignment horizontal="center" readingOrder="0" vertical="center"/>
    </xf>
    <xf borderId="2" fillId="4" fontId="3" numFmtId="0" xfId="0" applyAlignment="1" applyBorder="1" applyFont="1">
      <alignment horizontal="center" readingOrder="0" vertical="center"/>
    </xf>
    <xf borderId="1" fillId="3" fontId="4" numFmtId="0" xfId="0" applyAlignment="1" applyBorder="1" applyFont="1">
      <alignment horizontal="center" readingOrder="0" vertical="center"/>
    </xf>
    <xf borderId="1" fillId="4" fontId="4" numFmtId="0" xfId="0" applyAlignment="1" applyBorder="1" applyFont="1">
      <alignment horizontal="center" readingOrder="0" vertical="center"/>
    </xf>
    <xf borderId="1" fillId="3" fontId="4" numFmtId="3" xfId="0" applyAlignment="1" applyBorder="1" applyFont="1" applyNumberFormat="1">
      <alignment horizontal="center" readingOrder="0" vertical="center"/>
    </xf>
    <xf borderId="1" fillId="4" fontId="4" numFmtId="3" xfId="0" applyAlignment="1" applyBorder="1" applyFont="1" applyNumberFormat="1">
      <alignment horizontal="center" readingOrder="0" vertical="center"/>
    </xf>
    <xf borderId="1" fillId="4" fontId="4" numFmtId="0" xfId="0" applyAlignment="1" applyBorder="1" applyFont="1">
      <alignment horizontal="center" vertical="center"/>
    </xf>
    <xf borderId="1" fillId="3" fontId="4" numFmtId="0" xfId="0" applyAlignment="1" applyBorder="1" applyFont="1">
      <alignment horizontal="center" vertical="center"/>
    </xf>
    <xf borderId="1" fillId="3" fontId="4" numFmtId="0" xfId="0" applyAlignment="1" applyBorder="1" applyFont="1">
      <alignment vertical="center"/>
    </xf>
    <xf borderId="1" fillId="4" fontId="8" numFmtId="0" xfId="0" applyAlignment="1" applyBorder="1" applyFont="1">
      <alignment horizontal="center" readingOrder="0" vertical="center"/>
    </xf>
    <xf borderId="1" fillId="4" fontId="4" numFmtId="0" xfId="0" applyAlignment="1" applyBorder="1" applyFont="1">
      <alignment vertical="center"/>
    </xf>
    <xf borderId="1" fillId="2" fontId="3" numFmtId="49" xfId="0" applyAlignment="1" applyBorder="1" applyFont="1" applyNumberFormat="1">
      <alignment horizontal="center" readingOrder="0" vertical="center"/>
    </xf>
    <xf borderId="2" fillId="2" fontId="3" numFmtId="0" xfId="0" applyAlignment="1" applyBorder="1" applyFont="1">
      <alignment horizontal="center" readingOrder="0" vertical="center"/>
    </xf>
    <xf borderId="1" fillId="4" fontId="4" numFmtId="0" xfId="0" applyAlignment="1" applyBorder="1" applyFont="1">
      <alignment horizontal="left" readingOrder="0" vertical="center"/>
    </xf>
    <xf borderId="1" fillId="3" fontId="4" numFmtId="0" xfId="0" applyAlignment="1" applyBorder="1" applyFont="1">
      <alignment horizontal="left" readingOrder="0" vertical="center"/>
    </xf>
    <xf borderId="1" fillId="4" fontId="9" numFmtId="0" xfId="0" applyAlignment="1" applyBorder="1" applyFont="1">
      <alignment horizontal="left" readingOrder="0" vertical="center"/>
    </xf>
    <xf borderId="1" fillId="4" fontId="8" numFmtId="0" xfId="0" applyAlignment="1" applyBorder="1" applyFont="1">
      <alignment horizontal="left" readingOrder="0" vertical="center"/>
    </xf>
    <xf borderId="1" fillId="3" fontId="4" numFmtId="0" xfId="0" applyAlignment="1" applyBorder="1" applyFont="1">
      <alignment horizontal="left" vertical="center"/>
    </xf>
    <xf borderId="1" fillId="4" fontId="4" numFmtId="0" xfId="0" applyAlignment="1" applyBorder="1" applyFont="1">
      <alignment horizontal="left" vertical="center"/>
    </xf>
    <xf borderId="0" fillId="3" fontId="10" numFmtId="0" xfId="0" applyAlignment="1" applyFont="1">
      <alignment horizontal="center" readingOrder="0" vertical="center"/>
    </xf>
    <xf borderId="1" fillId="4" fontId="10" numFmtId="0" xfId="0" applyAlignment="1" applyBorder="1" applyFont="1">
      <alignment horizontal="left" readingOrder="0" vertical="center"/>
    </xf>
    <xf borderId="1" fillId="2" fontId="11" numFmtId="0" xfId="0" applyAlignment="1" applyBorder="1" applyFont="1">
      <alignment horizontal="center" vertical="center"/>
    </xf>
    <xf borderId="1" fillId="2" fontId="12" numFmtId="0" xfId="0" applyAlignment="1" applyBorder="1" applyFont="1">
      <alignment horizontal="center" vertical="center"/>
    </xf>
    <xf borderId="1" fillId="2" fontId="12" numFmtId="49" xfId="0" applyAlignment="1" applyBorder="1" applyFont="1" applyNumberFormat="1">
      <alignment horizontal="center" vertical="center"/>
    </xf>
    <xf borderId="2" fillId="2" fontId="2" numFmtId="0" xfId="0" applyAlignment="1" applyBorder="1" applyFont="1">
      <alignment horizontal="center" readingOrder="0" vertical="center"/>
    </xf>
    <xf borderId="1" fillId="4" fontId="5" numFmtId="0" xfId="0" applyAlignment="1" applyBorder="1" applyFont="1">
      <alignment horizontal="left" readingOrder="0" vertical="center"/>
    </xf>
    <xf borderId="1" fillId="3" fontId="5" numFmtId="0" xfId="0" applyAlignment="1" applyBorder="1" applyFont="1">
      <alignment horizontal="left" readingOrder="0" vertical="center"/>
    </xf>
    <xf borderId="1" fillId="3" fontId="13" numFmtId="0" xfId="0" applyAlignment="1" applyBorder="1" applyFont="1">
      <alignment horizontal="left" readingOrder="0" vertical="center"/>
    </xf>
    <xf borderId="1" fillId="4" fontId="13" numFmtId="0" xfId="0" applyAlignment="1" applyBorder="1" applyFont="1">
      <alignment horizontal="left" readingOrder="0" vertical="center"/>
    </xf>
    <xf borderId="1" fillId="3" fontId="9" numFmtId="0" xfId="0" applyAlignment="1" applyBorder="1" applyFont="1">
      <alignment horizontal="left" readingOrder="0" vertical="center"/>
    </xf>
    <xf borderId="1" fillId="3" fontId="10" numFmtId="0" xfId="0" applyAlignment="1" applyBorder="1" applyFont="1">
      <alignment horizontal="left" readingOrder="0" vertical="center"/>
    </xf>
    <xf borderId="1" fillId="3" fontId="14" numFmtId="0" xfId="0" applyAlignment="1" applyBorder="1" applyFont="1">
      <alignment horizontal="left" readingOrder="0" vertical="center"/>
    </xf>
    <xf borderId="1" fillId="2" fontId="12" numFmtId="0" xfId="0" applyAlignment="1" applyBorder="1" applyFont="1">
      <alignment horizontal="center" vertical="bottom"/>
    </xf>
    <xf borderId="1" fillId="2" fontId="12" numFmtId="49" xfId="0" applyAlignment="1" applyBorder="1" applyFont="1" applyNumberFormat="1">
      <alignment horizontal="center" vertical="bottom"/>
    </xf>
    <xf borderId="1" fillId="4" fontId="13" numFmtId="0" xfId="0" applyAlignment="1" applyBorder="1" applyFont="1">
      <alignment readingOrder="0" vertical="center"/>
    </xf>
    <xf borderId="0" fillId="4" fontId="10" numFmtId="0" xfId="0" applyAlignment="1" applyFont="1">
      <alignment horizontal="left" readingOrder="0" vertical="center"/>
    </xf>
    <xf borderId="0" fillId="4" fontId="10" numFmtId="0" xfId="0" applyAlignment="1" applyFont="1">
      <alignment horizontal="center" readingOrder="0"/>
    </xf>
    <xf borderId="1" fillId="4" fontId="15" numFmtId="0" xfId="0" applyAlignment="1" applyBorder="1" applyFont="1">
      <alignment horizontal="left" readingOrder="0" vertical="center"/>
    </xf>
    <xf borderId="1" fillId="2" fontId="0" numFmtId="0" xfId="0" applyAlignment="1" applyBorder="1" applyFont="1">
      <alignment horizontal="center" readingOrder="0"/>
    </xf>
    <xf borderId="0" fillId="3" fontId="10" numFmtId="0" xfId="0" applyAlignment="1" applyFont="1">
      <alignment horizontal="left" readingOrder="0" vertical="center"/>
    </xf>
    <xf borderId="0" fillId="3" fontId="10" numFmtId="0" xfId="0" applyAlignment="1" applyFont="1">
      <alignment horizontal="center" readingOrder="0"/>
    </xf>
    <xf borderId="1" fillId="3" fontId="10" numFmtId="0" xfId="0" applyAlignment="1" applyBorder="1" applyFont="1">
      <alignment horizontal="left" readingOrder="0"/>
    </xf>
    <xf borderId="0" fillId="4" fontId="10" numFmtId="0" xfId="0" applyAlignment="1" applyFont="1">
      <alignment horizontal="left" readingOrder="0"/>
    </xf>
    <xf borderId="0" fillId="3" fontId="4" numFmtId="0" xfId="0" applyAlignment="1" applyFont="1">
      <alignment horizontal="left" readingOrder="0" vertical="center"/>
    </xf>
    <xf borderId="1" fillId="2" fontId="11" numFmtId="0" xfId="0" applyAlignment="1" applyBorder="1" applyFont="1">
      <alignment horizontal="center" readingOrder="0" vertical="bottom"/>
    </xf>
    <xf borderId="1" fillId="2" fontId="11" numFmtId="0" xfId="0" applyAlignment="1" applyBorder="1" applyFont="1">
      <alignment horizontal="center" readingOrder="0"/>
    </xf>
    <xf borderId="1" fillId="4" fontId="5" numFmtId="0" xfId="0" applyAlignment="1" applyBorder="1" applyFont="1">
      <alignment horizontal="center" readingOrder="0" vertical="center"/>
    </xf>
    <xf borderId="1" fillId="3" fontId="5" numFmtId="0" xfId="0" applyAlignment="1" applyBorder="1" applyFont="1">
      <alignment horizontal="center" readingOrder="0" vertical="center"/>
    </xf>
    <xf borderId="1" fillId="3" fontId="10" numFmtId="0" xfId="0" applyAlignment="1" applyBorder="1" applyFont="1">
      <alignment horizontal="center" readingOrder="0"/>
    </xf>
    <xf borderId="5" fillId="2" fontId="1" numFmtId="0" xfId="0" applyAlignment="1" applyBorder="1" applyFont="1">
      <alignment horizontal="center" readingOrder="0"/>
    </xf>
    <xf borderId="5" fillId="2" fontId="4" numFmtId="0" xfId="0" applyAlignment="1" applyBorder="1" applyFont="1">
      <alignment horizontal="center" readingOrder="0"/>
    </xf>
    <xf borderId="6" fillId="3" fontId="3" numFmtId="0" xfId="0" applyAlignment="1" applyBorder="1" applyFont="1">
      <alignment horizontal="center" readingOrder="0" vertical="center"/>
    </xf>
    <xf borderId="7" fillId="3" fontId="4" numFmtId="0" xfId="0" applyBorder="1" applyFont="1"/>
    <xf borderId="8" fillId="3" fontId="4" numFmtId="0" xfId="0" applyBorder="1" applyFont="1"/>
    <xf borderId="9" fillId="3" fontId="4" numFmtId="0" xfId="0" applyAlignment="1" applyBorder="1" applyFont="1">
      <alignment horizontal="center" readingOrder="0" vertical="center"/>
    </xf>
    <xf borderId="10" fillId="4" fontId="4" numFmtId="0" xfId="0" applyBorder="1" applyFont="1"/>
    <xf borderId="9" fillId="3" fontId="5" numFmtId="0" xfId="0" applyAlignment="1" applyBorder="1" applyFont="1">
      <alignment horizontal="center" readingOrder="0" vertical="center"/>
    </xf>
    <xf borderId="10" fillId="3" fontId="4" numFmtId="0" xfId="0" applyBorder="1" applyFont="1"/>
    <xf borderId="11" fillId="3" fontId="4" numFmtId="0" xfId="0" applyAlignment="1" applyBorder="1" applyFont="1">
      <alignment horizontal="center" readingOrder="0" vertical="center"/>
    </xf>
    <xf borderId="12" fillId="3" fontId="4" numFmtId="0" xfId="0" applyBorder="1" applyFont="1"/>
    <xf borderId="13" fillId="3" fontId="4" numFmtId="0" xfId="0" applyBorder="1" applyFont="1"/>
    <xf borderId="14" fillId="4" fontId="4" numFmtId="0" xfId="0" applyAlignment="1" applyBorder="1" applyFont="1">
      <alignment horizontal="center" readingOrder="0" vertical="center"/>
    </xf>
    <xf borderId="15" fillId="4" fontId="4" numFmtId="0" xfId="0" applyAlignment="1" applyBorder="1" applyFont="1">
      <alignment horizontal="center" readingOrder="0"/>
    </xf>
    <xf borderId="15" fillId="4" fontId="4" numFmtId="0" xfId="0" applyAlignment="1" applyBorder="1" applyFont="1">
      <alignment horizontal="center"/>
    </xf>
    <xf borderId="14" fillId="3" fontId="4" numFmtId="0" xfId="0" applyBorder="1" applyFont="1"/>
    <xf borderId="1" fillId="3" fontId="4" numFmtId="0" xfId="0" applyAlignment="1" applyBorder="1" applyFont="1">
      <alignment horizontal="center" readingOrder="0"/>
    </xf>
    <xf borderId="1" fillId="3" fontId="4" numFmtId="0" xfId="0" applyAlignment="1" applyBorder="1" applyFont="1">
      <alignment horizontal="center"/>
    </xf>
    <xf borderId="14" fillId="4" fontId="4" numFmtId="0" xfId="0" applyBorder="1" applyFont="1"/>
    <xf borderId="1" fillId="4" fontId="4" numFmtId="0" xfId="0" applyAlignment="1" applyBorder="1" applyFont="1">
      <alignment horizontal="center" readingOrder="0"/>
    </xf>
    <xf borderId="1" fillId="4" fontId="4" numFmtId="0" xfId="0" applyAlignment="1" applyBorder="1" applyFont="1">
      <alignment horizontal="center"/>
    </xf>
    <xf borderId="15" fillId="3" fontId="4" numFmtId="0" xfId="0" applyBorder="1" applyFont="1"/>
    <xf borderId="5" fillId="4" fontId="4" numFmtId="0" xfId="0" applyAlignment="1" applyBorder="1" applyFont="1">
      <alignment horizontal="center" readingOrder="0" vertical="center"/>
    </xf>
    <xf borderId="1" fillId="3" fontId="4" numFmtId="0" xfId="0" applyAlignment="1" applyBorder="1" applyFont="1">
      <alignment horizontal="center" readingOrder="0"/>
    </xf>
    <xf borderId="1" fillId="4" fontId="4" numFmtId="0" xfId="0" applyAlignment="1" applyBorder="1" applyFont="1">
      <alignment horizontal="center" readingOrder="0"/>
    </xf>
    <xf borderId="1" fillId="3" fontId="6" numFmtId="0" xfId="0" applyAlignment="1" applyBorder="1" applyFont="1">
      <alignment horizontal="center" readingOrder="0"/>
    </xf>
    <xf borderId="1" fillId="4" fontId="6" numFmtId="0" xfId="0" applyAlignment="1" applyBorder="1" applyFont="1">
      <alignment horizontal="center" readingOrder="0"/>
    </xf>
    <xf borderId="2" fillId="2" fontId="4" numFmtId="0" xfId="0" applyAlignment="1" applyBorder="1" applyFont="1">
      <alignment horizontal="center" readingOrder="0"/>
    </xf>
    <xf borderId="15" fillId="4" fontId="4" numFmtId="0" xfId="0" applyBorder="1" applyFont="1"/>
    <xf borderId="5" fillId="3" fontId="4" numFmtId="0" xfId="0" applyAlignment="1" applyBorder="1" applyFont="1">
      <alignment horizontal="center" readingOrder="0" vertical="center"/>
    </xf>
    <xf borderId="5" fillId="4" fontId="16" numFmtId="0" xfId="0" applyAlignment="1" applyBorder="1" applyFont="1">
      <alignment horizontal="center" readingOrder="0" vertical="center"/>
    </xf>
    <xf borderId="1" fillId="4" fontId="16" numFmtId="0" xfId="0" applyAlignment="1" applyBorder="1" applyFont="1">
      <alignment horizontal="center" readingOrder="0" vertical="bottom"/>
    </xf>
    <xf borderId="1" fillId="4" fontId="16" numFmtId="0" xfId="0" applyAlignment="1" applyBorder="1" applyFont="1">
      <alignment horizontal="center" vertical="bottom"/>
    </xf>
    <xf borderId="1" fillId="3" fontId="16" numFmtId="0" xfId="0" applyAlignment="1" applyBorder="1" applyFont="1">
      <alignment horizontal="center" readingOrder="0" vertical="bottom"/>
    </xf>
    <xf borderId="1" fillId="3" fontId="16" numFmtId="0" xfId="0" applyAlignment="1" applyBorder="1" applyFont="1">
      <alignment horizontal="center" vertical="bottom"/>
    </xf>
    <xf borderId="1" fillId="3" fontId="17" numFmtId="0" xfId="0" applyAlignment="1" applyBorder="1" applyFont="1">
      <alignment horizontal="center" readingOrder="0" vertical="bottom"/>
    </xf>
    <xf borderId="1" fillId="2" fontId="3" numFmtId="0" xfId="0" applyAlignment="1" applyBorder="1" applyFont="1">
      <alignment horizontal="center" readingOrder="0"/>
    </xf>
    <xf borderId="1" fillId="3" fontId="4" numFmtId="0" xfId="0" applyAlignment="1" applyBorder="1" applyFont="1">
      <alignment readingOrder="0"/>
    </xf>
    <xf borderId="1" fillId="4" fontId="4" numFmtId="0" xfId="0" applyAlignment="1" applyBorder="1" applyFont="1">
      <alignment readingOrder="0"/>
    </xf>
    <xf borderId="2" fillId="2" fontId="3" numFmtId="0" xfId="0" applyAlignment="1" applyBorder="1" applyFont="1">
      <alignment horizontal="center" readingOrder="0"/>
    </xf>
    <xf borderId="2" fillId="3" fontId="0" numFmtId="0" xfId="0" applyAlignment="1" applyBorder="1" applyFont="1">
      <alignment horizontal="center" readingOrder="0"/>
    </xf>
    <xf borderId="1" fillId="2" fontId="0" numFmtId="0" xfId="0" applyAlignment="1" applyBorder="1" applyFont="1">
      <alignment horizontal="center" readingOrder="0" vertical="bottom"/>
    </xf>
    <xf borderId="1" fillId="2" fontId="0" numFmtId="0" xfId="0" applyAlignment="1" applyBorder="1" applyFont="1">
      <alignment horizontal="left" readingOrder="0" vertical="bottom"/>
    </xf>
    <xf borderId="2" fillId="2" fontId="0" numFmtId="0" xfId="0" applyAlignment="1" applyBorder="1" applyFont="1">
      <alignment horizontal="center" readingOrder="0"/>
    </xf>
    <xf borderId="1" fillId="4" fontId="10" numFmtId="0" xfId="0" applyAlignment="1" applyBorder="1" applyFont="1">
      <alignment horizontal="center" vertical="bottom"/>
    </xf>
    <xf borderId="1" fillId="4" fontId="10" numFmtId="0" xfId="0" applyAlignment="1" applyBorder="1" applyFont="1">
      <alignment vertical="bottom"/>
    </xf>
    <xf borderId="1" fillId="4" fontId="18" numFmtId="0" xfId="0" applyAlignment="1" applyBorder="1" applyFont="1">
      <alignment horizontal="center" readingOrder="0" vertical="bottom"/>
    </xf>
    <xf borderId="1" fillId="4" fontId="18" numFmtId="0" xfId="0" applyAlignment="1" applyBorder="1" applyFont="1">
      <alignment horizontal="left" readingOrder="0" vertical="bottom"/>
    </xf>
    <xf borderId="1" fillId="3" fontId="10" numFmtId="0" xfId="0" applyAlignment="1" applyBorder="1" applyFont="1">
      <alignment horizontal="center" vertical="bottom"/>
    </xf>
    <xf borderId="1" fillId="3" fontId="10" numFmtId="0" xfId="0" applyAlignment="1" applyBorder="1" applyFont="1">
      <alignment vertical="bottom"/>
    </xf>
    <xf borderId="1" fillId="3" fontId="18" numFmtId="0" xfId="0" applyAlignment="1" applyBorder="1" applyFont="1">
      <alignment horizontal="center" readingOrder="0" vertical="bottom"/>
    </xf>
    <xf borderId="1" fillId="3" fontId="18" numFmtId="0" xfId="0" applyAlignment="1" applyBorder="1" applyFont="1">
      <alignment horizontal="left" readingOrder="0" vertical="bottom"/>
    </xf>
    <xf borderId="1" fillId="3" fontId="0" numFmtId="0" xfId="0" applyBorder="1" applyFont="1"/>
    <xf borderId="1" fillId="3" fontId="4" numFmtId="0" xfId="0" applyBorder="1" applyFont="1"/>
    <xf borderId="1" fillId="4" fontId="0" numFmtId="0" xfId="0" applyAlignment="1" applyBorder="1" applyFont="1">
      <alignment horizontal="center" readingOrder="0"/>
    </xf>
    <xf borderId="1" fillId="3" fontId="0" numFmtId="0" xfId="0" applyAlignment="1" applyBorder="1" applyFont="1">
      <alignment horizontal="center" readingOrder="0"/>
    </xf>
    <xf borderId="2" fillId="2" fontId="10" numFmtId="0" xfId="0" applyAlignment="1" applyBorder="1" applyFont="1">
      <alignment horizontal="center" vertical="bottom"/>
    </xf>
    <xf borderId="2" fillId="2" fontId="16" numFmtId="0" xfId="0" applyAlignment="1" applyBorder="1" applyFont="1">
      <alignment horizontal="center" vertical="bottom"/>
    </xf>
    <xf borderId="1" fillId="3" fontId="19" numFmtId="0" xfId="0" applyAlignment="1" applyBorder="1" applyFont="1">
      <alignment horizontal="center" vertical="bottom"/>
    </xf>
    <xf borderId="1" fillId="3" fontId="16" numFmtId="0" xfId="0" applyAlignment="1" applyBorder="1" applyFont="1">
      <alignment vertical="bottom"/>
    </xf>
    <xf borderId="1" fillId="4" fontId="19" numFmtId="0" xfId="0" applyAlignment="1" applyBorder="1" applyFont="1">
      <alignment horizontal="center" vertical="bottom"/>
    </xf>
    <xf borderId="1" fillId="4" fontId="16" numFmtId="0" xfId="0" applyAlignment="1" applyBorder="1" applyFont="1">
      <alignment vertical="bottom"/>
    </xf>
    <xf borderId="0" fillId="3" fontId="19" numFmtId="0" xfId="0" applyAlignment="1" applyFont="1">
      <alignment horizontal="center" vertical="bottom"/>
    </xf>
    <xf borderId="0" fillId="3" fontId="16" numFmtId="0" xfId="0" applyAlignment="1" applyFont="1">
      <alignment vertical="bottom"/>
    </xf>
    <xf borderId="0" fillId="3" fontId="0" numFmtId="0" xfId="0" applyFont="1"/>
    <xf borderId="0" fillId="4" fontId="19" numFmtId="0" xfId="0" applyAlignment="1" applyFont="1">
      <alignment horizontal="center" vertical="bottom"/>
    </xf>
    <xf borderId="0" fillId="4" fontId="16" numFmtId="0" xfId="0" applyAlignment="1" applyFont="1">
      <alignment vertical="bottom"/>
    </xf>
    <xf borderId="5" fillId="3" fontId="0" numFmtId="0" xfId="0" applyAlignment="1" applyBorder="1" applyFont="1">
      <alignment horizontal="center" readingOrder="0" vertical="center"/>
    </xf>
    <xf borderId="1" fillId="3" fontId="0" numFmtId="0" xfId="0" applyAlignment="1" applyBorder="1" applyFont="1">
      <alignment horizontal="center" readingOrder="0"/>
    </xf>
    <xf borderId="5" fillId="4" fontId="0" numFmtId="0" xfId="0" applyAlignment="1" applyBorder="1" applyFont="1">
      <alignment horizontal="center" readingOrder="0" vertical="center"/>
    </xf>
    <xf borderId="1" fillId="4" fontId="0" numFmtId="0" xfId="0" applyAlignment="1" applyBorder="1" applyFont="1">
      <alignment horizontal="center" readingOrder="0"/>
    </xf>
    <xf borderId="1" fillId="4" fontId="20" numFmtId="0" xfId="0" applyAlignment="1" applyBorder="1" applyFont="1">
      <alignment horizontal="center" readingOrder="0"/>
    </xf>
    <xf borderId="1" fillId="3" fontId="20" numFmtId="0" xfId="0" applyAlignment="1" applyBorder="1" applyFont="1">
      <alignment horizontal="center" readingOrder="0"/>
    </xf>
    <xf borderId="0" fillId="3" fontId="0" numFmtId="0" xfId="0" applyAlignment="1" applyFont="1">
      <alignment horizontal="center"/>
    </xf>
    <xf borderId="0" fillId="3" fontId="0" numFmtId="0" xfId="0" applyAlignment="1" applyFont="1">
      <alignment horizontal="center" readingOrder="0"/>
    </xf>
    <xf borderId="2" fillId="2" fontId="0" numFmtId="0" xfId="0" applyAlignment="1" applyBorder="1" applyFont="1">
      <alignment horizontal="center" readingOrder="0"/>
    </xf>
    <xf borderId="4" fillId="2" fontId="0" numFmtId="0" xfId="0" applyAlignment="1" applyBorder="1" applyFont="1">
      <alignment horizontal="center" readingOrder="0"/>
    </xf>
    <xf borderId="2" fillId="4" fontId="20" numFmtId="0" xfId="0" applyAlignment="1" applyBorder="1" applyFont="1">
      <alignment horizontal="center" readingOrder="0"/>
    </xf>
    <xf borderId="4" fillId="4" fontId="0" numFmtId="0" xfId="0" applyAlignment="1" applyBorder="1" applyFont="1">
      <alignment horizontal="center" readingOrder="0"/>
    </xf>
    <xf borderId="2" fillId="4" fontId="0" numFmtId="0" xfId="0" applyAlignment="1" applyBorder="1" applyFont="1">
      <alignment horizontal="center" readingOrder="0"/>
    </xf>
    <xf borderId="1" fillId="3" fontId="0" numFmtId="3" xfId="0" applyAlignment="1" applyBorder="1" applyFont="1" applyNumberFormat="1">
      <alignment horizontal="center" readingOrder="0"/>
    </xf>
    <xf borderId="4" fillId="3" fontId="0" numFmtId="0" xfId="0" applyAlignment="1" applyBorder="1" applyFont="1">
      <alignment horizontal="center" readingOrder="0"/>
    </xf>
    <xf borderId="2" fillId="3" fontId="0" numFmtId="3" xfId="0" applyAlignment="1" applyBorder="1" applyFont="1" applyNumberFormat="1">
      <alignment horizontal="center" readingOrder="0"/>
    </xf>
    <xf borderId="1" fillId="4" fontId="0" numFmtId="3" xfId="0" applyAlignment="1" applyBorder="1" applyFont="1" applyNumberFormat="1">
      <alignment horizontal="center" readingOrder="0"/>
    </xf>
    <xf borderId="2" fillId="4" fontId="0" numFmtId="3" xfId="0" applyAlignment="1" applyBorder="1" applyFont="1" applyNumberFormat="1">
      <alignment horizontal="center" readingOrder="0"/>
    </xf>
    <xf borderId="4" fillId="3" fontId="20" numFmtId="0" xfId="0" applyAlignment="1" applyBorder="1" applyFont="1">
      <alignment horizontal="center" readingOrder="0"/>
    </xf>
    <xf borderId="2" fillId="3" fontId="20" numFmtId="0" xfId="0" applyAlignment="1" applyBorder="1" applyFont="1">
      <alignment horizontal="center" readingOrder="0"/>
    </xf>
    <xf borderId="4" fillId="4" fontId="20" numFmtId="0" xfId="0" applyAlignment="1" applyBorder="1" applyFont="1">
      <alignment horizontal="center" readingOrder="0"/>
    </xf>
    <xf borderId="1" fillId="2" fontId="4" numFmtId="0" xfId="0" applyAlignment="1" applyBorder="1" applyFont="1">
      <alignment horizontal="center" readingOrder="0" vertical="center"/>
    </xf>
    <xf borderId="2" fillId="2" fontId="4" numFmtId="0" xfId="0" applyAlignment="1" applyBorder="1" applyFont="1">
      <alignment horizontal="center" readingOrder="0" vertical="center"/>
    </xf>
    <xf borderId="2" fillId="3" fontId="4" numFmtId="0" xfId="0" applyAlignment="1" applyBorder="1" applyFont="1">
      <alignment vertical="center"/>
    </xf>
    <xf borderId="2" fillId="2" fontId="1" numFmtId="0" xfId="0" applyAlignment="1" applyBorder="1" applyFont="1">
      <alignment horizontal="center" readingOrder="0"/>
    </xf>
    <xf borderId="3" fillId="6" fontId="4" numFmtId="0" xfId="0" applyBorder="1" applyFill="1" applyFont="1"/>
    <xf borderId="4" fillId="6" fontId="4" numFmtId="0" xfId="0" applyBorder="1" applyFont="1"/>
    <xf borderId="0" fillId="3" fontId="21" numFmtId="0" xfId="0" applyAlignment="1" applyFont="1">
      <alignment shrinkToFit="0" wrapText="0"/>
    </xf>
    <xf borderId="0" fillId="3" fontId="18" numFmtId="0" xfId="0" applyAlignment="1" applyFont="1">
      <alignment horizontal="center"/>
    </xf>
    <xf borderId="0" fillId="3" fontId="21" numFmtId="0" xfId="0" applyAlignment="1" applyFont="1">
      <alignment readingOrder="0" shrinkToFit="0" wrapText="0"/>
    </xf>
    <xf borderId="0" fillId="3" fontId="22" numFmtId="0" xfId="0" applyAlignment="1" applyFont="1">
      <alignment horizontal="left" readingOrder="0"/>
    </xf>
    <xf borderId="0" fillId="3" fontId="4" numFmtId="0" xfId="0" applyAlignment="1" applyFont="1">
      <alignment readingOrder="0"/>
    </xf>
    <xf borderId="2" fillId="2" fontId="23" numFmtId="0" xfId="0" applyAlignment="1" applyBorder="1" applyFont="1">
      <alignment horizontal="center" readingOrder="0"/>
    </xf>
    <xf borderId="0" fillId="3" fontId="23" numFmtId="0" xfId="0" applyAlignment="1" applyFont="1">
      <alignment horizontal="center" readingOrder="0"/>
    </xf>
    <xf borderId="6" fillId="3" fontId="18" numFmtId="0" xfId="0" applyAlignment="1" applyBorder="1" applyFont="1">
      <alignment horizontal="left" readingOrder="0"/>
    </xf>
    <xf borderId="7" fillId="7" fontId="4" numFmtId="0" xfId="0" applyBorder="1" applyFill="1" applyFont="1"/>
    <xf borderId="8" fillId="7" fontId="4" numFmtId="0" xfId="0" applyBorder="1" applyFont="1"/>
    <xf borderId="9" fillId="3" fontId="18" numFmtId="0" xfId="0" applyAlignment="1" applyBorder="1" applyFont="1">
      <alignment horizontal="center" readingOrder="0"/>
    </xf>
    <xf borderId="0" fillId="3" fontId="18" numFmtId="0" xfId="0" applyAlignment="1" applyFont="1">
      <alignment horizontal="center" readingOrder="0"/>
    </xf>
    <xf borderId="0" fillId="3" fontId="4" numFmtId="0" xfId="0" applyAlignment="1" applyFont="1">
      <alignment horizontal="center" readingOrder="0"/>
    </xf>
    <xf borderId="10" fillId="3" fontId="4" numFmtId="0" xfId="0" applyAlignment="1" applyBorder="1" applyFont="1">
      <alignment horizontal="center" readingOrder="0"/>
    </xf>
    <xf borderId="0" fillId="3" fontId="18" numFmtId="0" xfId="0" applyAlignment="1" applyFont="1">
      <alignment horizontal="left" readingOrder="0"/>
    </xf>
    <xf borderId="11" fillId="3" fontId="18" numFmtId="0" xfId="0" applyAlignment="1" applyBorder="1" applyFont="1">
      <alignment horizontal="center" readingOrder="0"/>
    </xf>
    <xf borderId="12" fillId="3" fontId="18" numFmtId="0" xfId="0" applyAlignment="1" applyBorder="1" applyFont="1">
      <alignment horizontal="left" readingOrder="0"/>
    </xf>
    <xf borderId="12" fillId="3" fontId="4" numFmtId="0" xfId="0" applyAlignment="1" applyBorder="1" applyFont="1">
      <alignment horizontal="center" readingOrder="0"/>
    </xf>
    <xf borderId="13" fillId="3" fontId="4" numFmtId="0" xfId="0" applyAlignment="1" applyBorder="1" applyFont="1">
      <alignment horizontal="center" readingOrder="0"/>
    </xf>
    <xf borderId="2" fillId="4" fontId="23" numFmtId="0" xfId="0" applyAlignment="1" applyBorder="1" applyFont="1">
      <alignment horizontal="center" readingOrder="0"/>
    </xf>
    <xf borderId="1" fillId="2" fontId="23" numFmtId="0" xfId="0" applyAlignment="1" applyBorder="1" applyFont="1">
      <alignment horizontal="center" readingOrder="0"/>
    </xf>
    <xf borderId="2" fillId="4" fontId="18" numFmtId="0" xfId="0" applyAlignment="1" applyBorder="1" applyFont="1">
      <alignment horizontal="center" readingOrder="0"/>
    </xf>
    <xf borderId="1" fillId="3" fontId="0" numFmtId="0" xfId="0" applyAlignment="1" applyBorder="1" applyFont="1">
      <alignment horizontal="left" readingOrder="0"/>
    </xf>
    <xf borderId="1" fillId="3" fontId="4" numFmtId="0" xfId="0" applyAlignment="1" applyBorder="1" applyFont="1">
      <alignment horizontal="left" readingOrder="0"/>
    </xf>
    <xf borderId="2" fillId="4" fontId="4" numFmtId="0" xfId="0" applyAlignment="1" applyBorder="1" applyFont="1">
      <alignment horizontal="center" readingOrder="0"/>
    </xf>
    <xf borderId="1" fillId="3" fontId="18" numFmtId="0" xfId="0" applyAlignment="1" applyBorder="1" applyFont="1">
      <alignment horizontal="center" readingOrder="0"/>
    </xf>
    <xf borderId="1" fillId="3" fontId="18" numFmtId="0" xfId="0" applyAlignment="1" applyBorder="1" applyFont="1">
      <alignment horizontal="left" readingOrder="0"/>
    </xf>
    <xf borderId="3" fillId="7" fontId="4" numFmtId="0" xfId="0" applyBorder="1" applyFont="1"/>
    <xf borderId="4" fillId="7" fontId="4" numFmtId="0" xfId="0" applyBorder="1" applyFont="1"/>
    <xf borderId="1" fillId="3" fontId="18" numFmtId="0" xfId="0" applyAlignment="1" applyBorder="1" applyFont="1">
      <alignment horizontal="center"/>
    </xf>
    <xf borderId="2" fillId="2" fontId="18" numFmtId="0" xfId="0" applyAlignment="1" applyBorder="1" applyFont="1">
      <alignment horizontal="center" readingOrder="0"/>
    </xf>
    <xf borderId="2" fillId="7" fontId="18" numFmtId="0" xfId="0" applyAlignment="1" applyBorder="1" applyFont="1">
      <alignment horizontal="center" readingOrder="0"/>
    </xf>
    <xf borderId="1" fillId="7" fontId="0" numFmtId="0" xfId="0" applyAlignment="1" applyBorder="1" applyFont="1">
      <alignment horizontal="left" readingOrder="0"/>
    </xf>
    <xf borderId="1" fillId="7" fontId="4" numFmtId="0" xfId="0" applyAlignment="1" applyBorder="1" applyFont="1">
      <alignment horizontal="center" readingOrder="0"/>
    </xf>
    <xf borderId="1" fillId="7" fontId="18" numFmtId="0" xfId="0" applyAlignment="1" applyBorder="1" applyFont="1">
      <alignment horizontal="center" readingOrder="0"/>
    </xf>
    <xf borderId="1" fillId="7" fontId="0" numFmtId="0" xfId="0" applyAlignment="1" applyBorder="1" applyFont="1">
      <alignment horizontal="center" readingOrder="0"/>
    </xf>
    <xf borderId="1" fillId="7" fontId="4" numFmtId="0" xfId="0" applyAlignment="1" applyBorder="1" applyFont="1">
      <alignment horizontal="left" readingOrder="0"/>
    </xf>
    <xf borderId="0" fillId="2" fontId="1" numFmtId="0" xfId="0" applyAlignment="1" applyFont="1">
      <alignment horizontal="center" readingOrder="0"/>
    </xf>
    <xf borderId="1" fillId="5" fontId="3" numFmtId="0" xfId="0" applyAlignment="1" applyBorder="1" applyFont="1">
      <alignment readingOrder="0"/>
    </xf>
    <xf borderId="0" fillId="2" fontId="0" numFmtId="0" xfId="0" applyAlignment="1" applyFont="1">
      <alignment horizontal="center" readingOrder="0"/>
    </xf>
    <xf borderId="1" fillId="2" fontId="4" numFmtId="0" xfId="0" applyAlignment="1" applyBorder="1" applyFont="1">
      <alignment readingOrder="0"/>
    </xf>
    <xf borderId="9" fillId="0" fontId="4" numFmtId="0" xfId="0" applyAlignment="1" applyBorder="1" applyFont="1">
      <alignment readingOrder="0"/>
    </xf>
    <xf borderId="2" fillId="2" fontId="4" numFmtId="0" xfId="0" applyAlignment="1" applyBorder="1" applyFont="1">
      <alignment readingOrder="0"/>
    </xf>
    <xf borderId="1" fillId="2" fontId="4" numFmtId="0" xfId="0" applyBorder="1" applyFont="1"/>
    <xf borderId="12" fillId="0" fontId="4" numFmtId="0" xfId="0" applyAlignment="1" applyBorder="1" applyFont="1">
      <alignment readingOrder="0"/>
    </xf>
    <xf borderId="11" fillId="0" fontId="4" numFmtId="0" xfId="0" applyAlignment="1" applyBorder="1" applyFont="1">
      <alignment readingOrder="0"/>
    </xf>
    <xf borderId="0" fillId="0" fontId="3" numFmtId="0" xfId="0" applyAlignment="1" applyFont="1">
      <alignment readingOrder="0"/>
    </xf>
    <xf borderId="9" fillId="0" fontId="4" numFmtId="0" xfId="0" applyBorder="1" applyFont="1"/>
    <xf borderId="0" fillId="0" fontId="4" numFmtId="0" xfId="0" applyAlignment="1" applyFont="1">
      <alignment readingOrder="0" vertical="center"/>
    </xf>
    <xf borderId="9" fillId="0" fontId="4" numFmtId="0" xfId="0" applyAlignment="1" applyBorder="1" applyFont="1">
      <alignment readingOrder="0" vertical="center"/>
    </xf>
    <xf borderId="0" fillId="0" fontId="4" numFmtId="0" xfId="0" applyAlignment="1" applyFont="1">
      <alignment readingOrder="0"/>
    </xf>
    <xf borderId="1" fillId="0" fontId="4" numFmtId="0" xfId="0" applyAlignment="1" applyBorder="1" applyFont="1">
      <alignment horizontal="center" readingOrder="0"/>
    </xf>
    <xf borderId="0" fillId="3" fontId="3" numFmtId="0" xfId="0" applyAlignment="1" applyFont="1">
      <alignment horizontal="center" readingOrder="0"/>
    </xf>
    <xf borderId="2" fillId="3" fontId="4" numFmtId="0" xfId="0" applyAlignment="1" applyBorder="1" applyFont="1">
      <alignment horizontal="center" readingOrder="0"/>
    </xf>
    <xf borderId="0" fillId="3" fontId="4" numFmtId="0" xfId="0" applyFont="1"/>
    <xf borderId="2" fillId="2" fontId="3" numFmtId="0" xfId="0" applyAlignment="1" applyBorder="1" applyFont="1">
      <alignment horizontal="center"/>
    </xf>
    <xf borderId="5" fillId="4" fontId="4" numFmtId="0" xfId="0" applyAlignment="1" applyBorder="1" applyFont="1">
      <alignment horizontal="left" readingOrder="0" vertical="center"/>
    </xf>
    <xf borderId="1" fillId="3" fontId="4" numFmtId="0" xfId="0" applyBorder="1" applyFont="1"/>
    <xf borderId="5" fillId="3" fontId="4" numFmtId="0" xfId="0" applyAlignment="1" applyBorder="1" applyFont="1">
      <alignment horizontal="left" readingOrder="0" vertical="center"/>
    </xf>
    <xf borderId="15" fillId="3" fontId="4" numFmtId="0" xfId="0" applyAlignment="1" applyBorder="1" applyFont="1">
      <alignment horizontal="left" readingOrder="0" vertical="center"/>
    </xf>
    <xf borderId="1" fillId="4" fontId="4" numFmtId="0" xfId="0" applyBorder="1" applyFont="1"/>
    <xf borderId="9" fillId="4" fontId="4" numFmtId="0" xfId="0" applyAlignment="1" applyBorder="1" applyFont="1">
      <alignment readingOrder="0"/>
    </xf>
    <xf borderId="9" fillId="3" fontId="4" numFmtId="0" xfId="0" applyAlignment="1" applyBorder="1" applyFont="1">
      <alignment readingOrder="0"/>
    </xf>
    <xf borderId="9" fillId="3" fontId="10" numFmtId="0" xfId="0" applyAlignment="1" applyBorder="1" applyFont="1">
      <alignment horizontal="left" readingOrder="0"/>
    </xf>
    <xf borderId="11" fillId="4" fontId="4" numFmtId="0" xfId="0" applyAlignment="1" applyBorder="1" applyFont="1">
      <alignment readingOrder="0"/>
    </xf>
    <xf borderId="13" fillId="4" fontId="4" numFmtId="0" xfId="0" applyBorder="1" applyFont="1"/>
    <xf borderId="9" fillId="3" fontId="4" numFmtId="0" xfId="0" applyAlignment="1" applyBorder="1" applyFont="1">
      <alignment horizontal="center" readingOrder="0"/>
    </xf>
    <xf borderId="11" fillId="4" fontId="24" numFmtId="0" xfId="0" applyAlignment="1" applyBorder="1" applyFont="1">
      <alignment readingOrder="0"/>
    </xf>
    <xf borderId="10" fillId="4" fontId="4" numFmtId="0" xfId="0" applyAlignment="1" applyBorder="1" applyFont="1">
      <alignment readingOrder="0"/>
    </xf>
    <xf borderId="10" fillId="3" fontId="4" numFmtId="0" xfId="0" applyAlignment="1" applyBorder="1" applyFont="1">
      <alignment readingOrder="0"/>
    </xf>
    <xf borderId="13" fillId="4" fontId="4" numFmtId="0" xfId="0" applyAlignment="1" applyBorder="1" applyFont="1">
      <alignment readingOrder="0"/>
    </xf>
    <xf borderId="9" fillId="4" fontId="4" numFmtId="0" xfId="0" applyAlignment="1" applyBorder="1" applyFont="1">
      <alignment readingOrder="0" vertical="center"/>
    </xf>
    <xf borderId="6" fillId="4" fontId="4" numFmtId="0" xfId="0" applyAlignment="1" applyBorder="1" applyFont="1">
      <alignment horizontal="left" readingOrder="0"/>
    </xf>
    <xf borderId="5" fillId="4" fontId="4" numFmtId="0" xfId="0" applyAlignment="1" applyBorder="1" applyFont="1">
      <alignment readingOrder="0"/>
    </xf>
    <xf borderId="9" fillId="3" fontId="4" numFmtId="0" xfId="0" applyAlignment="1" applyBorder="1" applyFont="1">
      <alignment horizontal="left" readingOrder="0"/>
    </xf>
    <xf borderId="14" fillId="3" fontId="4" numFmtId="0" xfId="0" applyAlignment="1" applyBorder="1" applyFont="1">
      <alignment readingOrder="0"/>
    </xf>
    <xf borderId="9" fillId="4" fontId="4" numFmtId="0" xfId="0" applyAlignment="1" applyBorder="1" applyFont="1">
      <alignment horizontal="left" readingOrder="0"/>
    </xf>
    <xf borderId="14" fillId="4" fontId="4" numFmtId="0" xfId="0" applyAlignment="1" applyBorder="1" applyFont="1">
      <alignment readingOrder="0"/>
    </xf>
    <xf borderId="11" fillId="4" fontId="4" numFmtId="0" xfId="0" applyAlignment="1" applyBorder="1" applyFont="1">
      <alignment horizontal="left" readingOrder="0"/>
    </xf>
    <xf borderId="15" fillId="4" fontId="4" numFmtId="0" xfId="0" applyAlignment="1" applyBorder="1" applyFont="1">
      <alignment readingOrder="0"/>
    </xf>
    <xf borderId="11" fillId="3" fontId="4" numFmtId="0" xfId="0" applyAlignment="1" applyBorder="1" applyFont="1">
      <alignment horizontal="center" readingOrder="0"/>
    </xf>
    <xf borderId="12" fillId="4" fontId="4" numFmtId="0" xfId="0" applyBorder="1" applyFont="1"/>
    <xf borderId="0" fillId="2" fontId="4" numFmtId="0" xfId="0" applyAlignment="1" applyFont="1">
      <alignment horizontal="center" readingOrder="0"/>
    </xf>
    <xf borderId="1" fillId="2" fontId="4" numFmtId="0" xfId="0" applyAlignment="1" applyBorder="1" applyFont="1">
      <alignment horizontal="center"/>
    </xf>
    <xf borderId="2" fillId="3" fontId="4"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Postgame Events-style">
      <tableStyleElement dxfId="1" type="headerRow"/>
      <tableStyleElement dxfId="2" type="firstRowStripe"/>
      <tableStyleElement dxfId="3" type="secondRowStripe"/>
    </tableStyle>
    <tableStyle count="3" pivot="0" name="Pep Po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 displayName="Table_1" id="1">
  <tableColumns count="1">
    <tableColumn name="Column1" id="1"/>
  </tableColumns>
  <tableStyleInfo name="Postgame Event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G85" displayName="Table_2" id="2">
  <tableColumns count="7">
    <tableColumn name="Column1" id="1"/>
    <tableColumn name="Column2" id="2"/>
    <tableColumn name="Column3" id="3"/>
    <tableColumn name="Column4" id="4"/>
    <tableColumn name="Column5" id="5"/>
    <tableColumn name="Column6" id="6"/>
    <tableColumn name="Column7" id="7"/>
  </tableColumns>
  <tableStyleInfo name="Pep Power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hardcoregamer.com/2018/09/03/dragon-quest-xi-crossbow-target-guide/309712/"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37.13"/>
    <col customWidth="1" min="3" max="7" width="18.88"/>
  </cols>
  <sheetData>
    <row r="1">
      <c r="A1" s="1" t="str">
        <f>IFERROR(__xludf.DUMMYFUNCTION("IMPORTRANGE(""1pGQGO9M_OLNstXbY45t1_zMDCLpiw8pwB7y8fM3IKkA"",""Recipe!A1:G110"")"),"Recipe")</f>
        <v>Recipe</v>
      </c>
      <c r="B1" s="2" t="str">
        <f>IFERROR(__xludf.DUMMYFUNCTION("""COMPUTED_VALUE"""),"Location")</f>
        <v>Location</v>
      </c>
      <c r="C1" s="3" t="str">
        <f>IFERROR(__xludf.DUMMYFUNCTION("""COMPUTED_VALUE"""),"Contents")</f>
        <v>Contents</v>
      </c>
      <c r="D1" s="4"/>
      <c r="E1" s="4"/>
      <c r="F1" s="4"/>
      <c r="G1" s="5"/>
    </row>
    <row r="2">
      <c r="A2" s="6" t="str">
        <f>IFERROR(__xludf.DUMMYFUNCTION("""COMPUTED_VALUE"""),"Items in Red are Costumes")</f>
        <v>Items in Red are Costumes</v>
      </c>
      <c r="B2" s="7"/>
      <c r="C2" s="7"/>
      <c r="D2" s="7"/>
      <c r="E2" s="7"/>
      <c r="F2" s="7"/>
      <c r="G2" s="8"/>
    </row>
    <row r="3">
      <c r="A3" s="9" t="str">
        <f>IFERROR(__xludf.DUMMYFUNCTION("""COMPUTED_VALUE"""),"First Forays into Forging")</f>
        <v>First Forays into Forging</v>
      </c>
      <c r="B3" s="10" t="str">
        <f>IFERROR(__xludf.DUMMYFUNCTION("""COMPUTED_VALUE"""),"Given with the Forge")</f>
        <v>Given with the Forge</v>
      </c>
      <c r="C3" s="11" t="str">
        <f>IFERROR(__xludf.DUMMYFUNCTION("""COMPUTED_VALUE"""),"Bronze Sword")</f>
        <v>Bronze Sword</v>
      </c>
      <c r="D3" s="11" t="str">
        <f>IFERROR(__xludf.DUMMYFUNCTION("""COMPUTED_VALUE"""),"Divine Dagger")</f>
        <v>Divine Dagger</v>
      </c>
      <c r="E3" s="12"/>
      <c r="F3" s="12"/>
      <c r="G3" s="12"/>
    </row>
    <row r="4">
      <c r="A4" s="13" t="str">
        <f>IFERROR(__xludf.DUMMYFUNCTION("""COMPUTED_VALUE"""),"Economies of Scale")</f>
        <v>Economies of Scale</v>
      </c>
      <c r="B4" s="14" t="str">
        <f>IFERROR(__xludf.DUMMYFUNCTION("""COMPUTED_VALUE"""),"Chest: Manglegrove")</f>
        <v>Chest: Manglegrove</v>
      </c>
      <c r="C4" s="15" t="str">
        <f>IFERROR(__xludf.DUMMYFUNCTION("""COMPUTED_VALUE"""),"Scale Shield")</f>
        <v>Scale Shield</v>
      </c>
      <c r="D4" s="15" t="str">
        <f>IFERROR(__xludf.DUMMYFUNCTION("""COMPUTED_VALUE"""),"Scale Armor")</f>
        <v>Scale Armor</v>
      </c>
      <c r="E4" s="16"/>
      <c r="F4" s="16"/>
      <c r="G4" s="16"/>
    </row>
    <row r="5">
      <c r="A5" s="9" t="str">
        <f>IFERROR(__xludf.DUMMYFUNCTION("""COMPUTED_VALUE"""),"O Holy Knight")</f>
        <v>O Holy Knight</v>
      </c>
      <c r="B5" s="10" t="str">
        <f>IFERROR(__xludf.DUMMYFUNCTION("""COMPUTED_VALUE"""),"Cobblestone (after Erik joins)")</f>
        <v>Cobblestone (after Erik joins)</v>
      </c>
      <c r="C5" s="11" t="str">
        <f>IFERROR(__xludf.DUMMYFUNCTION("""COMPUTED_VALUE"""),"Templar's Uniform")</f>
        <v>Templar's Uniform</v>
      </c>
      <c r="D5" s="12"/>
      <c r="E5" s="12"/>
      <c r="F5" s="12"/>
      <c r="G5" s="12"/>
    </row>
    <row r="6">
      <c r="A6" s="13" t="str">
        <f>IFERROR(__xludf.DUMMYFUNCTION("""COMPUTED_VALUE"""),"Put a Feather in Your Cap")</f>
        <v>Put a Feather in Your Cap</v>
      </c>
      <c r="B6" s="14" t="str">
        <f>IFERROR(__xludf.DUMMYFUNCTION("""COMPUTED_VALUE"""),"Chest: Kingsbarrow")</f>
        <v>Chest: Kingsbarrow</v>
      </c>
      <c r="C6" s="15" t="str">
        <f>IFERROR(__xludf.DUMMYFUNCTION("""COMPUTED_VALUE"""),"Feathered Cap")</f>
        <v>Feathered Cap</v>
      </c>
      <c r="D6" s="16"/>
      <c r="E6" s="16"/>
      <c r="F6" s="16"/>
      <c r="G6" s="16"/>
    </row>
    <row r="7">
      <c r="A7" s="9" t="str">
        <f>IFERROR(__xludf.DUMMYFUNCTION("""COMPUTED_VALUE"""),"Twenty-Four Carats of Class")</f>
        <v>Twenty-Four Carats of Class</v>
      </c>
      <c r="B7" s="10" t="str">
        <f>IFERROR(__xludf.DUMMYFUNCTION("""COMPUTED_VALUE"""),"Quest: Put a Ring on It")</f>
        <v>Quest: Put a Ring on It</v>
      </c>
      <c r="C7" s="11" t="str">
        <f>IFERROR(__xludf.DUMMYFUNCTION("""COMPUTED_VALUE"""),"Gold Ring")</f>
        <v>Gold Ring</v>
      </c>
      <c r="D7" s="12"/>
      <c r="E7" s="12"/>
      <c r="F7" s="12"/>
      <c r="G7" s="12"/>
    </row>
    <row r="8">
      <c r="A8" s="13" t="str">
        <f>IFERROR(__xludf.DUMMYFUNCTION("""COMPUTED_VALUE"""),"An Introduction to Armour")</f>
        <v>An Introduction to Armour</v>
      </c>
      <c r="B8" s="14" t="str">
        <f>IFERROR(__xludf.DUMMYFUNCTION("""COMPUTED_VALUE"""),"Chest: Hotto")</f>
        <v>Chest: Hotto</v>
      </c>
      <c r="C8" s="15" t="str">
        <f>IFERROR(__xludf.DUMMYFUNCTION("""COMPUTED_VALUE"""),"Bronze Armour")</f>
        <v>Bronze Armour</v>
      </c>
      <c r="D8" s="16"/>
      <c r="E8" s="16"/>
      <c r="F8" s="16"/>
      <c r="G8" s="16"/>
    </row>
    <row r="9">
      <c r="A9" s="9" t="str">
        <f>IFERROR(__xludf.DUMMYFUNCTION("""COMPUTED_VALUE"""),"I &lt;3 Iron Arms")</f>
        <v>I &lt;3 Iron Arms</v>
      </c>
      <c r="B9" s="10" t="str">
        <f>IFERROR(__xludf.DUMMYFUNCTION("""COMPUTED_VALUE"""),"Quest: Smiths and Sparkly Spots")</f>
        <v>Quest: Smiths and Sparkly Spots</v>
      </c>
      <c r="C9" s="11" t="str">
        <f>IFERROR(__xludf.DUMMYFUNCTION("""COMPUTED_VALUE"""),"Iron Broadsword")</f>
        <v>Iron Broadsword</v>
      </c>
      <c r="D9" s="11" t="str">
        <f>IFERROR(__xludf.DUMMYFUNCTION("""COMPUTED_VALUE"""),"Cast-Iron Claymore")</f>
        <v>Cast-Iron Claymore</v>
      </c>
      <c r="E9" s="12"/>
      <c r="F9" s="12"/>
      <c r="G9" s="12"/>
    </row>
    <row r="10">
      <c r="A10" s="13" t="str">
        <f>IFERROR(__xludf.DUMMYFUNCTION("""COMPUTED_VALUE"""),"I &lt;3 Iron Armour")</f>
        <v>I &lt;3 Iron Armour</v>
      </c>
      <c r="B10" s="14" t="str">
        <f>IFERROR(__xludf.DUMMYFUNCTION("""COMPUTED_VALUE"""),"Chest: Laguna di Gondolia")</f>
        <v>Chest: Laguna di Gondolia</v>
      </c>
      <c r="C10" s="15" t="str">
        <f>IFERROR(__xludf.DUMMYFUNCTION("""COMPUTED_VALUE"""),"Iron Helmet")</f>
        <v>Iron Helmet</v>
      </c>
      <c r="D10" s="15" t="str">
        <f>IFERROR(__xludf.DUMMYFUNCTION("""COMPUTED_VALUE"""),"Iron Cuirass")</f>
        <v>Iron Cuirass</v>
      </c>
      <c r="E10" s="15" t="str">
        <f>IFERROR(__xludf.DUMMYFUNCTION("""COMPUTED_VALUE"""),"Iron Armour")</f>
        <v>Iron Armour</v>
      </c>
      <c r="F10" s="16"/>
      <c r="G10" s="16"/>
    </row>
    <row r="11">
      <c r="A11" s="9" t="str">
        <f>IFERROR(__xludf.DUMMYFUNCTION("""COMPUTED_VALUE"""),"So You Want to Be a Witch")</f>
        <v>So You Want to Be a Witch</v>
      </c>
      <c r="B11" s="10" t="str">
        <f>IFERROR(__xludf.DUMMYFUNCTION("""COMPUTED_VALUE"""),"Bookshelf: Gallopolis")</f>
        <v>Bookshelf: Gallopolis</v>
      </c>
      <c r="C11" s="11" t="str">
        <f>IFERROR(__xludf.DUMMYFUNCTION("""COMPUTED_VALUE"""),"Lamp Post")</f>
        <v>Lamp Post</v>
      </c>
      <c r="D11" s="11" t="str">
        <f>IFERROR(__xludf.DUMMYFUNCTION("""COMPUTED_VALUE"""),"Wizard's Staff")</f>
        <v>Wizard's Staff</v>
      </c>
      <c r="E11" s="11" t="str">
        <f>IFERROR(__xludf.DUMMYFUNCTION("""COMPUTED_VALUE"""),"Tricky Turban")</f>
        <v>Tricky Turban</v>
      </c>
      <c r="F11" s="11" t="str">
        <f>IFERROR(__xludf.DUMMYFUNCTION("""COMPUTED_VALUE"""),"Fizzle-Retardant Blouse")</f>
        <v>Fizzle-Retardant Blouse</v>
      </c>
      <c r="G11" s="11" t="str">
        <f>IFERROR(__xludf.DUMMYFUNCTION("""COMPUTED_VALUE"""),"Enchantress's Gloves")</f>
        <v>Enchantress's Gloves</v>
      </c>
    </row>
    <row r="12">
      <c r="A12" s="13" t="str">
        <f>IFERROR(__xludf.DUMMYFUNCTION("""COMPUTED_VALUE"""),"Furry Finery")</f>
        <v>Furry Finery</v>
      </c>
      <c r="B12" s="14" t="str">
        <f>IFERROR(__xludf.DUMMYFUNCTION("""COMPUTED_VALUE"""),"Quest: A Walk on the Wild Side")</f>
        <v>Quest: A Walk on the Wild Side</v>
      </c>
      <c r="C12" s="15" t="str">
        <f>IFERROR(__xludf.DUMMYFUNCTION("""COMPUTED_VALUE"""),"Fur Hood")</f>
        <v>Fur Hood</v>
      </c>
      <c r="D12" s="15" t="str">
        <f>IFERROR(__xludf.DUMMYFUNCTION("""COMPUTED_VALUE"""),"Fur Poncho")</f>
        <v>Fur Poncho</v>
      </c>
      <c r="E12" s="16"/>
      <c r="F12" s="16"/>
      <c r="G12" s="16"/>
    </row>
    <row r="13">
      <c r="A13" s="9" t="str">
        <f>IFERROR(__xludf.DUMMYFUNCTION("""COMPUTED_VALUE"""),"Cutting-Edge Kit")</f>
        <v>Cutting-Edge Kit</v>
      </c>
      <c r="B13" s="10" t="str">
        <f>IFERROR(__xludf.DUMMYFUNCTION("""COMPUTED_VALUE"""),"Quest: A Lovely Letter")</f>
        <v>Quest: A Lovely Letter</v>
      </c>
      <c r="C13" s="11" t="str">
        <f>IFERROR(__xludf.DUMMYFUNCTION("""COMPUTED_VALUE"""),"Broader Sword")</f>
        <v>Broader Sword</v>
      </c>
      <c r="D13" s="11" t="str">
        <f>IFERROR(__xludf.DUMMYFUNCTION("""COMPUTED_VALUE"""),"Battle Fork")</f>
        <v>Battle Fork</v>
      </c>
      <c r="E13" s="11" t="str">
        <f>IFERROR(__xludf.DUMMYFUNCTION("""COMPUTED_VALUE"""),"Rosewhip")</f>
        <v>Rosewhip</v>
      </c>
      <c r="F13" s="12"/>
      <c r="G13" s="12"/>
    </row>
    <row r="14">
      <c r="A14" s="13" t="str">
        <f>IFERROR(__xludf.DUMMYFUNCTION("""COMPUTED_VALUE"""),"Filigree for Fun and Profit")</f>
        <v>Filigree for Fun and Profit</v>
      </c>
      <c r="B14" s="14" t="str">
        <f>IFERROR(__xludf.DUMMYFUNCTION("""COMPUTED_VALUE"""),"Bookshelf: Gondolia")</f>
        <v>Bookshelf: Gondolia</v>
      </c>
      <c r="C14" s="15" t="str">
        <f>IFERROR(__xludf.DUMMYFUNCTION("""COMPUTED_VALUE"""),"Gold Platter")</f>
        <v>Gold Platter</v>
      </c>
      <c r="D14" s="15" t="str">
        <f>IFERROR(__xludf.DUMMYFUNCTION("""COMPUTED_VALUE"""),"Gold Chain")</f>
        <v>Gold Chain</v>
      </c>
      <c r="E14" s="15" t="str">
        <f>IFERROR(__xludf.DUMMYFUNCTION("""COMPUTED_VALUE"""),"Gold Bracer")</f>
        <v>Gold Bracer</v>
      </c>
      <c r="F14" s="16"/>
      <c r="G14" s="16"/>
    </row>
    <row r="15">
      <c r="A15" s="9" t="str">
        <f>IFERROR(__xludf.DUMMYFUNCTION("""COMPUTED_VALUE"""),"A Slender Sword of Solid Silver")</f>
        <v>A Slender Sword of Solid Silver</v>
      </c>
      <c r="B15" s="10" t="str">
        <f>IFERROR(__xludf.DUMMYFUNCTION("""COMPUTED_VALUE"""),"Chest: Laguna di Gondolia")</f>
        <v>Chest: Laguna di Gondolia</v>
      </c>
      <c r="C15" s="11" t="str">
        <f>IFERROR(__xludf.DUMMYFUNCTION("""COMPUTED_VALUE"""),"Silver Rapier")</f>
        <v>Silver Rapier</v>
      </c>
      <c r="D15" s="12"/>
      <c r="E15" s="12"/>
      <c r="F15" s="12"/>
      <c r="G15" s="12"/>
    </row>
    <row r="16">
      <c r="A16" s="13" t="str">
        <f>IFERROR(__xludf.DUMMYFUNCTION("""COMPUTED_VALUE"""),"Rings Around the World")</f>
        <v>Rings Around the World</v>
      </c>
      <c r="B16" s="14" t="str">
        <f>IFERROR(__xludf.DUMMYFUNCTION("""COMPUTED_VALUE"""),"Insula Australis")</f>
        <v>Insula Australis</v>
      </c>
      <c r="C16" s="15" t="str">
        <f>IFERROR(__xludf.DUMMYFUNCTION("""COMPUTED_VALUE"""),"Strength Ring")</f>
        <v>Strength Ring</v>
      </c>
      <c r="D16" s="15" t="str">
        <f>IFERROR(__xludf.DUMMYFUNCTION("""COMPUTED_VALUE"""),"Agility Ring")</f>
        <v>Agility Ring</v>
      </c>
      <c r="E16" s="15" t="str">
        <f>IFERROR(__xludf.DUMMYFUNCTION("""COMPUTED_VALUE"""),"Prayer Ring")</f>
        <v>Prayer Ring</v>
      </c>
      <c r="F16" s="16"/>
      <c r="G16" s="16"/>
    </row>
    <row r="17">
      <c r="A17" s="9" t="str">
        <f>IFERROR(__xludf.DUMMYFUNCTION("""COMPUTED_VALUE"""),"Smithing with Steel")</f>
        <v>Smithing with Steel</v>
      </c>
      <c r="B17" s="10" t="str">
        <f>IFERROR(__xludf.DUMMYFUNCTION("""COMPUTED_VALUE"""),"Bookshelf: Warrior's Rest Inn")</f>
        <v>Bookshelf: Warrior's Rest Inn</v>
      </c>
      <c r="C17" s="11" t="str">
        <f>IFERROR(__xludf.DUMMYFUNCTION("""COMPUTED_VALUE"""),"Steel Broadsword")</f>
        <v>Steel Broadsword</v>
      </c>
      <c r="D17" s="11" t="str">
        <f>IFERROR(__xludf.DUMMYFUNCTION("""COMPUTED_VALUE"""),"Soarin' Steel")</f>
        <v>Soarin' Steel</v>
      </c>
      <c r="E17" s="11" t="str">
        <f>IFERROR(__xludf.DUMMYFUNCTION("""COMPUTED_VALUE"""),"Steel Shield")</f>
        <v>Steel Shield</v>
      </c>
      <c r="F17" s="11" t="str">
        <f>IFERROR(__xludf.DUMMYFUNCTION("""COMPUTED_VALUE"""),"Steel Helmet")</f>
        <v>Steel Helmet</v>
      </c>
      <c r="G17" s="11" t="str">
        <f>IFERROR(__xludf.DUMMYFUNCTION("""COMPUTED_VALUE"""),"Full Plate Armour")</f>
        <v>Full Plate Armour</v>
      </c>
    </row>
    <row r="18">
      <c r="A18" s="13" t="str">
        <f>IFERROR(__xludf.DUMMYFUNCTION("""COMPUTED_VALUE"""),"Building Butterfly Bric-a-Brac")</f>
        <v>Building Butterfly Bric-a-Brac</v>
      </c>
      <c r="B18" s="14" t="str">
        <f>IFERROR(__xludf.DUMMYFUNCTION("""COMPUTED_VALUE"""),"Bookshelf: Octagonia Orphanage")</f>
        <v>Bookshelf: Octagonia Orphanage</v>
      </c>
      <c r="C18" s="15" t="str">
        <f>IFERROR(__xludf.DUMMYFUNCTION("""COMPUTED_VALUE"""),"Batterfly Knife")</f>
        <v>Batterfly Knife</v>
      </c>
      <c r="D18" s="15" t="str">
        <f>IFERROR(__xludf.DUMMYFUNCTION("""COMPUTED_VALUE"""),"Malleable Mask")</f>
        <v>Malleable Mask</v>
      </c>
      <c r="E18" s="16"/>
      <c r="F18" s="16"/>
      <c r="G18" s="16"/>
    </row>
    <row r="19">
      <c r="A19" s="17" t="str">
        <f>IFERROR(__xludf.DUMMYFUNCTION("""COMPUTED_VALUE"""),"The Dapper Chap")</f>
        <v>The Dapper Chap</v>
      </c>
      <c r="B19" s="10" t="str">
        <f>IFERROR(__xludf.DUMMYFUNCTION("""COMPUTED_VALUE"""),"Quest: Skincare for the Fierce and Fabulous")</f>
        <v>Quest: Skincare for the Fierce and Fabulous</v>
      </c>
      <c r="C19" s="18" t="str">
        <f>IFERROR(__xludf.DUMMYFUNCTION("""COMPUTED_VALUE"""),"Dapper Doublet")</f>
        <v>Dapper Doublet</v>
      </c>
      <c r="D19" s="18" t="str">
        <f>IFERROR(__xludf.DUMMYFUNCTION("""COMPUTED_VALUE"""),"Natty Cravat")</f>
        <v>Natty Cravat</v>
      </c>
      <c r="E19" s="19"/>
      <c r="F19" s="19"/>
      <c r="G19" s="19"/>
    </row>
    <row r="20">
      <c r="A20" s="20" t="str">
        <f>IFERROR(__xludf.DUMMYFUNCTION("""COMPUTED_VALUE"""),"Dress Like a Drasilian")</f>
        <v>Dress Like a Drasilian</v>
      </c>
      <c r="B20" s="14" t="str">
        <f>IFERROR(__xludf.DUMMYFUNCTION("""COMPUTED_VALUE"""),"Chest: Ruins of Dundrasil")</f>
        <v>Chest: Ruins of Dundrasil</v>
      </c>
      <c r="C20" s="21" t="str">
        <f>IFERROR(__xludf.DUMMYFUNCTION("""COMPUTED_VALUE"""),"Drasilian Helm")</f>
        <v>Drasilian Helm</v>
      </c>
      <c r="D20" s="21" t="str">
        <f>IFERROR(__xludf.DUMMYFUNCTION("""COMPUTED_VALUE"""),"Drasiliam Armour")</f>
        <v>Drasiliam Armour</v>
      </c>
      <c r="E20" s="22"/>
      <c r="F20" s="22"/>
      <c r="G20" s="22"/>
    </row>
    <row r="21">
      <c r="A21" s="9" t="str">
        <f>IFERROR(__xludf.DUMMYFUNCTION("""COMPUTED_VALUE"""),"Your Crafting Career Starts Here")</f>
        <v>Your Crafting Career Starts Here</v>
      </c>
      <c r="B21" s="10" t="str">
        <f>IFERROR(__xludf.DUMMYFUNCTION("""COMPUTED_VALUE"""),"Bookshelf: Puerto Valor")</f>
        <v>Bookshelf: Puerto Valor</v>
      </c>
      <c r="C21" s="11" t="str">
        <f>IFERROR(__xludf.DUMMYFUNCTION("""COMPUTED_VALUE"""),"Jolly Brolly")</f>
        <v>Jolly Brolly</v>
      </c>
      <c r="D21" s="11" t="str">
        <f>IFERROR(__xludf.DUMMYFUNCTION("""COMPUTED_VALUE"""),"Coral Hairpin")</f>
        <v>Coral Hairpin</v>
      </c>
      <c r="E21" s="11" t="str">
        <f>IFERROR(__xludf.DUMMYFUNCTION("""COMPUTED_VALUE"""),"Utility Belt")</f>
        <v>Utility Belt</v>
      </c>
      <c r="F21" s="12"/>
      <c r="G21" s="12"/>
    </row>
    <row r="22">
      <c r="A22" s="20" t="str">
        <f>IFERROR(__xludf.DUMMYFUNCTION("""COMPUTED_VALUE"""),"All Things Nice")</f>
        <v>All Things Nice</v>
      </c>
      <c r="B22" s="14" t="str">
        <f>IFERROR(__xludf.DUMMYFUNCTION("""COMPUTED_VALUE"""),"Townsperson in Puerto Valor")</f>
        <v>Townsperson in Puerto Valor</v>
      </c>
      <c r="C22" s="21" t="str">
        <f>IFERROR(__xludf.DUMMYFUNCTION("""COMPUTED_VALUE"""),"Cute Cap")</f>
        <v>Cute Cap</v>
      </c>
      <c r="D22" s="21" t="str">
        <f>IFERROR(__xludf.DUMMYFUNCTION("""COMPUTED_VALUE"""),"Bonny Band")</f>
        <v>Bonny Band</v>
      </c>
      <c r="E22" s="21" t="str">
        <f>IFERROR(__xludf.DUMMYFUNCTION("""COMPUTED_VALUE"""),"Pretty Pinny")</f>
        <v>Pretty Pinny</v>
      </c>
      <c r="F22" s="21" t="str">
        <f>IFERROR(__xludf.DUMMYFUNCTION("""COMPUTED_VALUE"""),"Dainty Dress")</f>
        <v>Dainty Dress</v>
      </c>
      <c r="G22" s="22"/>
    </row>
    <row r="23">
      <c r="A23" s="9" t="str">
        <f>IFERROR(__xludf.DUMMYFUNCTION("""COMPUTED_VALUE"""),"Make a Whip-Roaring Success of Yourself")</f>
        <v>Make a Whip-Roaring Success of Yourself</v>
      </c>
      <c r="B23" s="10" t="str">
        <f>IFERROR(__xludf.DUMMYFUNCTION("""COMPUTED_VALUE"""),"Quest: Anything for Love")</f>
        <v>Quest: Anything for Love</v>
      </c>
      <c r="C23" s="11" t="str">
        <f>IFERROR(__xludf.DUMMYFUNCTION("""COMPUTED_VALUE"""),"Beastly Bullwhip")</f>
        <v>Beastly Bullwhip</v>
      </c>
      <c r="D23" s="12"/>
      <c r="E23" s="12"/>
      <c r="F23" s="12"/>
      <c r="G23" s="12"/>
    </row>
    <row r="24">
      <c r="A24" s="20" t="str">
        <f>IFERROR(__xludf.DUMMYFUNCTION("""COMPUTED_VALUE"""),"Sweet Stuff for Swindlers")</f>
        <v>Sweet Stuff for Swindlers</v>
      </c>
      <c r="B24" s="14" t="str">
        <f>IFERROR(__xludf.DUMMYFUNCTION("""COMPUTED_VALUE"""),"Quest: Shiver Me Timbers")</f>
        <v>Quest: Shiver Me Timbers</v>
      </c>
      <c r="C24" s="21" t="str">
        <f>IFERROR(__xludf.DUMMYFUNCTION("""COMPUTED_VALUE"""),"Swinder's Scarf")</f>
        <v>Swinder's Scarf</v>
      </c>
      <c r="D24" s="21" t="str">
        <f>IFERROR(__xludf.DUMMYFUNCTION("""COMPUTED_VALUE"""),"Swinder's Stole")</f>
        <v>Swinder's Stole</v>
      </c>
      <c r="E24" s="22"/>
      <c r="F24" s="22"/>
      <c r="G24" s="22"/>
    </row>
    <row r="25">
      <c r="A25" s="17" t="str">
        <f>IFERROR(__xludf.DUMMYFUNCTION("""COMPUTED_VALUE"""),"Down the Rabbithole")</f>
        <v>Down the Rabbithole</v>
      </c>
      <c r="B25" s="10" t="str">
        <f>IFERROR(__xludf.DUMMYFUNCTION("""COMPUTED_VALUE"""),"Puerto Valor Casino: 500 Tokens")</f>
        <v>Puerto Valor Casino: 500 Tokens</v>
      </c>
      <c r="C25" s="18" t="str">
        <f>IFERROR(__xludf.DUMMYFUNCTION("""COMPUTED_VALUE"""),"Bunny Ears")</f>
        <v>Bunny Ears</v>
      </c>
      <c r="D25" s="18" t="str">
        <f>IFERROR(__xludf.DUMMYFUNCTION("""COMPUTED_VALUE"""),"Bunny Suit")</f>
        <v>Bunny Suit</v>
      </c>
      <c r="E25" s="18" t="str">
        <f>IFERROR(__xludf.DUMMYFUNCTION("""COMPUTED_VALUE"""),"Fishnet Stockings")</f>
        <v>Fishnet Stockings</v>
      </c>
      <c r="F25" s="19"/>
      <c r="G25" s="19"/>
    </row>
    <row r="26">
      <c r="A26" s="13" t="str">
        <f>IFERROR(__xludf.DUMMYFUNCTION("""COMPUTED_VALUE"""),"Crafting Comforting Clothing")</f>
        <v>Crafting Comforting Clothing</v>
      </c>
      <c r="B26" s="14" t="str">
        <f>IFERROR(__xludf.DUMMYFUNCTION("""COMPUTED_VALUE"""),"Chest: Insula Incognita")</f>
        <v>Chest: Insula Incognita</v>
      </c>
      <c r="C26" s="15" t="str">
        <f>IFERROR(__xludf.DUMMYFUNCTION("""COMPUTED_VALUE"""),"Robe of Serenity")</f>
        <v>Robe of Serenity</v>
      </c>
      <c r="D26" s="16"/>
      <c r="E26" s="16"/>
      <c r="F26" s="16"/>
      <c r="G26" s="16"/>
    </row>
    <row r="27">
      <c r="A27" s="9" t="str">
        <f>IFERROR(__xludf.DUMMYFUNCTION("""COMPUTED_VALUE"""),"Building a Blade of Blistering Brutality")</f>
        <v>Building a Blade of Blistering Brutality</v>
      </c>
      <c r="B27" s="10" t="str">
        <f>IFERROR(__xludf.DUMMYFUNCTION("""COMPUTED_VALUE"""),"Chest: Lonalulu")</f>
        <v>Chest: Lonalulu</v>
      </c>
      <c r="C27" s="11" t="str">
        <f>IFERROR(__xludf.DUMMYFUNCTION("""COMPUTED_VALUE"""),"Cautery Sword")</f>
        <v>Cautery Sword</v>
      </c>
      <c r="D27" s="12"/>
      <c r="E27" s="12"/>
      <c r="F27" s="12"/>
      <c r="G27" s="12"/>
    </row>
    <row r="28">
      <c r="A28" s="13" t="str">
        <f>IFERROR(__xludf.DUMMYFUNCTION("""COMPUTED_VALUE"""),"My First Pearly Pieces")</f>
        <v>My First Pearly Pieces</v>
      </c>
      <c r="B28" s="14" t="str">
        <f>IFERROR(__xludf.DUMMYFUNCTION("""COMPUTED_VALUE"""),"Bookshelf: Lonalulu")</f>
        <v>Bookshelf: Lonalulu</v>
      </c>
      <c r="C28" s="15" t="str">
        <f>IFERROR(__xludf.DUMMYFUNCTION("""COMPUTED_VALUE"""),"Pink Pearl Ring")</f>
        <v>Pink Pearl Ring</v>
      </c>
      <c r="D28" s="15" t="str">
        <f>IFERROR(__xludf.DUMMYFUNCTION("""COMPUTED_VALUE"""),"Rosary")</f>
        <v>Rosary</v>
      </c>
      <c r="E28" s="16"/>
      <c r="F28" s="16"/>
      <c r="G28" s="16"/>
    </row>
    <row r="29">
      <c r="A29" s="9" t="str">
        <f>IFERROR(__xludf.DUMMYFUNCTION("""COMPUTED_VALUE"""),"Next-Level Neckwear")</f>
        <v>Next-Level Neckwear</v>
      </c>
      <c r="B29" s="10" t="str">
        <f>IFERROR(__xludf.DUMMYFUNCTION("""COMPUTED_VALUE"""),"Bookshelf: L'Academie de Notre")</f>
        <v>Bookshelf: L'Academie de Notre</v>
      </c>
      <c r="C29" s="11" t="str">
        <f>IFERROR(__xludf.DUMMYFUNCTION("""COMPUTED_VALUE"""),"Star of Clarity
Necklace of Immunity")</f>
        <v>Star of Clarity
Necklace of Immunity</v>
      </c>
      <c r="D29" s="11" t="str">
        <f>IFERROR(__xludf.DUMMYFUNCTION("""COMPUTED_VALUE"""),"Full Moon Collar
Rousing Rose Collar")</f>
        <v>Full Moon Collar
Rousing Rose Collar</v>
      </c>
      <c r="E29" s="11" t="str">
        <f>IFERROR(__xludf.DUMMYFUNCTION("""COMPUTED_VALUE"""),"Care Rivere
Torc of Truth")</f>
        <v>Care Rivere
Torc of Truth</v>
      </c>
      <c r="F29" s="11" t="str">
        <f>IFERROR(__xludf.DUMMYFUNCTION("""COMPUTED_VALUE"""),"Protective Pendant
Choker of Riddance")</f>
        <v>Protective Pendant
Choker of Riddance</v>
      </c>
      <c r="G29" s="11" t="str">
        <f>IFERROR(__xludf.DUMMYFUNCTION("""COMPUTED_VALUE"""),"Dogged Collar
Papillon Pendant")</f>
        <v>Dogged Collar
Papillon Pendant</v>
      </c>
    </row>
    <row r="30">
      <c r="A30" s="13" t="str">
        <f>IFERROR(__xludf.DUMMYFUNCTION("""COMPUTED_VALUE"""),"Fine and Dandy Designs")</f>
        <v>Fine and Dandy Designs</v>
      </c>
      <c r="B30" s="14" t="str">
        <f>IFERROR(__xludf.DUMMYFUNCTION("""COMPUTED_VALUE"""),"Bookshelf: L'Academie de Notre")</f>
        <v>Bookshelf: L'Academie de Notre</v>
      </c>
      <c r="C30" s="15" t="str">
        <f>IFERROR(__xludf.DUMMYFUNCTION("""COMPUTED_VALUE"""),"Smart Suit")</f>
        <v>Smart Suit</v>
      </c>
      <c r="D30" s="15" t="str">
        <f>IFERROR(__xludf.DUMMYFUNCTION("""COMPUTED_VALUE"""),"Posh Waistcoat")</f>
        <v>Posh Waistcoat</v>
      </c>
      <c r="E30" s="15" t="str">
        <f>IFERROR(__xludf.DUMMYFUNCTION("""COMPUTED_VALUE"""),"Bling-Bling Belt")</f>
        <v>Bling-Bling Belt</v>
      </c>
      <c r="F30" s="16"/>
      <c r="G30" s="16"/>
    </row>
    <row r="31">
      <c r="A31" s="9" t="str">
        <f>IFERROR(__xludf.DUMMYFUNCTION("""COMPUTED_VALUE"""),"Lashings of Class")</f>
        <v>Lashings of Class</v>
      </c>
      <c r="B31" s="10" t="str">
        <f>IFERROR(__xludf.DUMMYFUNCTION("""COMPUTED_VALUE"""),"Quest: Making Things Right")</f>
        <v>Quest: Making Things Right</v>
      </c>
      <c r="C31" s="11" t="str">
        <f>IFERROR(__xludf.DUMMYFUNCTION("""COMPUTED_VALUE"""),"Queen's Whip")</f>
        <v>Queen's Whip</v>
      </c>
      <c r="D31" s="12"/>
      <c r="E31" s="12"/>
      <c r="F31" s="12"/>
      <c r="G31" s="12"/>
    </row>
    <row r="32">
      <c r="A32" s="20" t="str">
        <f>IFERROR(__xludf.DUMMYFUNCTION("""COMPUTED_VALUE"""),"Kit Fit for a King")</f>
        <v>Kit Fit for a King</v>
      </c>
      <c r="B32" s="14" t="str">
        <f>IFERROR(__xludf.DUMMYFUNCTION("""COMPUTED_VALUE"""),"Mini Medal Stamp: 30")</f>
        <v>Mini Medal Stamp: 30</v>
      </c>
      <c r="C32" s="21" t="str">
        <f>IFERROR(__xludf.DUMMYFUNCTION("""COMPUTED_VALUE"""),"Crown of Dundrasil")</f>
        <v>Crown of Dundrasil</v>
      </c>
      <c r="D32" s="21" t="str">
        <f>IFERROR(__xludf.DUMMYFUNCTION("""COMPUTED_VALUE"""),"Drasilian Dress Coat")</f>
        <v>Drasilian Dress Coat</v>
      </c>
      <c r="E32" s="22"/>
      <c r="F32" s="22"/>
      <c r="G32" s="22"/>
    </row>
    <row r="33">
      <c r="A33" s="9" t="str">
        <f>IFERROR(__xludf.DUMMYFUNCTION("""COMPUTED_VALUE"""),"Electrifying Equipment")</f>
        <v>Electrifying Equipment</v>
      </c>
      <c r="B33" s="10" t="str">
        <f>IFERROR(__xludf.DUMMYFUNCTION("""COMPUTED_VALUE"""),"Chest: Eerie Eyrie")</f>
        <v>Chest: Eerie Eyrie</v>
      </c>
      <c r="C33" s="11" t="str">
        <f>IFERROR(__xludf.DUMMYFUNCTION("""COMPUTED_VALUE"""),"Lightning Staff")</f>
        <v>Lightning Staff</v>
      </c>
      <c r="D33" s="11" t="str">
        <f>IFERROR(__xludf.DUMMYFUNCTION("""COMPUTED_VALUE"""),"Lightning Lance")</f>
        <v>Lightning Lance</v>
      </c>
      <c r="E33" s="12"/>
      <c r="F33" s="12"/>
      <c r="G33" s="12"/>
    </row>
    <row r="34">
      <c r="A34" s="13" t="str">
        <f>IFERROR(__xludf.DUMMYFUNCTION("""COMPUTED_VALUE"""),"Build Better Birds' Feet")</f>
        <v>Build Better Birds' Feet</v>
      </c>
      <c r="B34" s="14" t="str">
        <f>IFERROR(__xludf.DUMMYFUNCTION("""COMPUTED_VALUE"""),"Chest: Eerie Eyrie")</f>
        <v>Chest: Eerie Eyrie</v>
      </c>
      <c r="C34" s="15" t="str">
        <f>IFERROR(__xludf.DUMMYFUNCTION("""COMPUTED_VALUE"""),"Crow's Claws")</f>
        <v>Crow's Claws</v>
      </c>
      <c r="D34" s="16"/>
      <c r="E34" s="16"/>
      <c r="F34" s="16"/>
      <c r="G34" s="16"/>
    </row>
    <row r="35">
      <c r="A35" s="9" t="str">
        <f>IFERROR(__xludf.DUMMYFUNCTION("""COMPUTED_VALUE"""),"Dragony Designs")</f>
        <v>Dragony Designs</v>
      </c>
      <c r="B35" s="10" t="str">
        <f>IFERROR(__xludf.DUMMYFUNCTION("""COMPUTED_VALUE"""),"Bookshelf: Phnom Nonh")</f>
        <v>Bookshelf: Phnom Nonh</v>
      </c>
      <c r="C35" s="11" t="str">
        <f>IFERROR(__xludf.DUMMYFUNCTION("""COMPUTED_VALUE"""),"Wyvern Wand")</f>
        <v>Wyvern Wand</v>
      </c>
      <c r="D35" s="11" t="str">
        <f>IFERROR(__xludf.DUMMYFUNCTION("""COMPUTED_VALUE"""),"Dragontail Whip")</f>
        <v>Dragontail Whip</v>
      </c>
      <c r="E35" s="12"/>
      <c r="F35" s="12"/>
      <c r="G35" s="12"/>
    </row>
    <row r="36">
      <c r="A36" s="13" t="str">
        <f>IFERROR(__xludf.DUMMYFUNCTION("""COMPUTED_VALUE"""),"More Dragony Designs")</f>
        <v>More Dragony Designs</v>
      </c>
      <c r="B36" s="14" t="str">
        <f>IFERROR(__xludf.DUMMYFUNCTION("""COMPUTED_VALUE"""),"Mount Pang Lai (Part 2)")</f>
        <v>Mount Pang Lai (Part 2)</v>
      </c>
      <c r="C36" s="15" t="str">
        <f>IFERROR(__xludf.DUMMYFUNCTION("""COMPUTED_VALUE"""),"Dragonsbane")</f>
        <v>Dragonsbane</v>
      </c>
      <c r="D36" s="15" t="str">
        <f>IFERROR(__xludf.DUMMYFUNCTION("""COMPUTED_VALUE"""),"Wyrmfang")</f>
        <v>Wyrmfang</v>
      </c>
      <c r="E36" s="15" t="str">
        <f>IFERROR(__xludf.DUMMYFUNCTION("""COMPUTED_VALUE"""),"Dragon Shield")</f>
        <v>Dragon Shield</v>
      </c>
      <c r="F36" s="15" t="str">
        <f>IFERROR(__xludf.DUMMYFUNCTION("""COMPUTED_VALUE"""),"Dragon Mail")</f>
        <v>Dragon Mail</v>
      </c>
      <c r="G36" s="16"/>
    </row>
    <row r="37">
      <c r="A37" s="9" t="str">
        <f>IFERROR(__xludf.DUMMYFUNCTION("""COMPUTED_VALUE"""),"Even More Dragony Designs")</f>
        <v>Even More Dragony Designs</v>
      </c>
      <c r="B37" s="10" t="str">
        <f>IFERROR(__xludf.DUMMYFUNCTION("""COMPUTED_VALUE"""),"Hotto Steppe: Northern Way Station (Part 2)")</f>
        <v>Hotto Steppe: Northern Way Station (Part 2)</v>
      </c>
      <c r="C37" s="11" t="str">
        <f>IFERROR(__xludf.DUMMYFUNCTION("""COMPUTED_VALUE"""),"Red Dragon Rod")</f>
        <v>Red Dragon Rod</v>
      </c>
      <c r="D37" s="11" t="str">
        <f>IFERROR(__xludf.DUMMYFUNCTION("""COMPUTED_VALUE"""),"Wyrmwand")</f>
        <v>Wyrmwand</v>
      </c>
      <c r="E37" s="12"/>
      <c r="F37" s="12"/>
      <c r="G37" s="12"/>
    </row>
    <row r="38">
      <c r="A38" s="13" t="str">
        <f>IFERROR(__xludf.DUMMYFUNCTION("""COMPUTED_VALUE"""),"Knick-Knacks for Nifty Nickers")</f>
        <v>Knick-Knacks for Nifty Nickers</v>
      </c>
      <c r="B38" s="14" t="str">
        <f>IFERROR(__xludf.DUMMYFUNCTION("""COMPUTED_VALUE"""),"Chest: Phnom Nonh")</f>
        <v>Chest: Phnom Nonh</v>
      </c>
      <c r="C38" s="15" t="str">
        <f>IFERROR(__xludf.DUMMYFUNCTION("""COMPUTED_VALUE"""),"Bloodletter")</f>
        <v>Bloodletter</v>
      </c>
      <c r="D38" s="15" t="str">
        <f>IFERROR(__xludf.DUMMYFUNCTION("""COMPUTED_VALUE"""),"Sword Breaker")</f>
        <v>Sword Breaker</v>
      </c>
      <c r="E38" s="15" t="str">
        <f>IFERROR(__xludf.DUMMYFUNCTION("""COMPUTED_VALUE"""),"Thief's Turban")</f>
        <v>Thief's Turban</v>
      </c>
      <c r="F38" s="15" t="str">
        <f>IFERROR(__xludf.DUMMYFUNCTION("""COMPUTED_VALUE"""),"Robber Gloves")</f>
        <v>Robber Gloves</v>
      </c>
      <c r="G38" s="15" t="str">
        <f>IFERROR(__xludf.DUMMYFUNCTION("""COMPUTED_VALUE"""),"Gloomy Gloves")</f>
        <v>Gloomy Gloves</v>
      </c>
    </row>
    <row r="39">
      <c r="A39" s="9" t="str">
        <f>IFERROR(__xludf.DUMMYFUNCTION("""COMPUTED_VALUE"""),"Secrets of the Silversmiths")</f>
        <v>Secrets of the Silversmiths</v>
      </c>
      <c r="B39" s="10" t="str">
        <f>IFERROR(__xludf.DUMMYFUNCTION("""COMPUTED_VALUE"""),"Magic Key: Phnom Nonh")</f>
        <v>Magic Key: Phnom Nonh</v>
      </c>
      <c r="C39" s="11" t="str">
        <f>IFERROR(__xludf.DUMMYFUNCTION("""COMPUTED_VALUE"""),"Silver Tiara")</f>
        <v>Silver Tiara</v>
      </c>
      <c r="D39" s="11" t="str">
        <f>IFERROR(__xludf.DUMMYFUNCTION("""COMPUTED_VALUE"""),"Silver Cuirass")</f>
        <v>Silver Cuirass</v>
      </c>
      <c r="E39" s="11" t="str">
        <f>IFERROR(__xludf.DUMMYFUNCTION("""COMPUTED_VALUE"""),"Silver Mail")</f>
        <v>Silver Mail</v>
      </c>
      <c r="F39" s="12"/>
      <c r="G39" s="12"/>
    </row>
    <row r="40">
      <c r="A40" s="13" t="str">
        <f>IFERROR(__xludf.DUMMYFUNCTION("""COMPUTED_VALUE"""),"Making the Magic Happen")</f>
        <v>Making the Magic Happen</v>
      </c>
      <c r="B40" s="14" t="str">
        <f>IFERROR(__xludf.DUMMYFUNCTION("""COMPUTED_VALUE"""),"Magic Key: Gallopolis")</f>
        <v>Magic Key: Gallopolis</v>
      </c>
      <c r="C40" s="15" t="str">
        <f>IFERROR(__xludf.DUMMYFUNCTION("""COMPUTED_VALUE"""),"Hocus Locus")</f>
        <v>Hocus Locus</v>
      </c>
      <c r="D40" s="15" t="str">
        <f>IFERROR(__xludf.DUMMYFUNCTION("""COMPUTED_VALUE"""),"Hocus Hat")</f>
        <v>Hocus Hat</v>
      </c>
      <c r="E40" s="15" t="str">
        <f>IFERROR(__xludf.DUMMYFUNCTION("""COMPUTED_VALUE"""),"Fizzle-Retardant Suit")</f>
        <v>Fizzle-Retardant Suit</v>
      </c>
      <c r="F40" s="16"/>
      <c r="G40" s="16"/>
    </row>
    <row r="41">
      <c r="A41" s="9" t="str">
        <f>IFERROR(__xludf.DUMMYFUNCTION("""COMPUTED_VALUE"""),"Divine Designs")</f>
        <v>Divine Designs</v>
      </c>
      <c r="B41" s="10" t="str">
        <f>IFERROR(__xludf.DUMMYFUNCTION("""COMPUTED_VALUE"""),"Magic Key: Gondolia")</f>
        <v>Magic Key: Gondolia</v>
      </c>
      <c r="C41" s="11" t="str">
        <f>IFERROR(__xludf.DUMMYFUNCTION("""COMPUTED_VALUE"""),"Seraphic Sceptre")</f>
        <v>Seraphic Sceptre</v>
      </c>
      <c r="D41" s="11" t="str">
        <f>IFERROR(__xludf.DUMMYFUNCTION("""COMPUTED_VALUE"""),"Angel's Sandals")</f>
        <v>Angel's Sandals</v>
      </c>
      <c r="E41" s="12"/>
      <c r="F41" s="12"/>
      <c r="G41" s="12"/>
    </row>
    <row r="42">
      <c r="A42" s="13" t="str">
        <f>IFERROR(__xludf.DUMMYFUNCTION("""COMPUTED_VALUE"""),"Classy Clobber for Kingly Kids")</f>
        <v>Classy Clobber for Kingly Kids</v>
      </c>
      <c r="B42" s="14" t="str">
        <f>IFERROR(__xludf.DUMMYFUNCTION("""COMPUTED_VALUE"""),"Magic Key: Zwaardsrust")</f>
        <v>Magic Key: Zwaardsrust</v>
      </c>
      <c r="C42" s="15" t="str">
        <f>IFERROR(__xludf.DUMMYFUNCTION("""COMPUTED_VALUE"""),"Prince's Pea Coat")</f>
        <v>Prince's Pea Coat</v>
      </c>
      <c r="D42" s="15" t="str">
        <f>IFERROR(__xludf.DUMMYFUNCTION("""COMPUTED_VALUE"""),"Princess's Robe")</f>
        <v>Princess's Robe</v>
      </c>
      <c r="E42" s="16"/>
      <c r="F42" s="16"/>
      <c r="G42" s="16"/>
    </row>
    <row r="43">
      <c r="A43" s="9" t="str">
        <f>IFERROR(__xludf.DUMMYFUNCTION("""COMPUTED_VALUE"""),"Supercool Kit")</f>
        <v>Supercool Kit</v>
      </c>
      <c r="B43" s="10" t="str">
        <f>IFERROR(__xludf.DUMMYFUNCTION("""COMPUTED_VALUE"""),"Chest: The Snaerfelt")</f>
        <v>Chest: The Snaerfelt</v>
      </c>
      <c r="C43" s="11" t="str">
        <f>IFERROR(__xludf.DUMMYFUNCTION("""COMPUTED_VALUE"""),"Winter's Wing")</f>
        <v>Winter's Wing</v>
      </c>
      <c r="D43" s="11" t="str">
        <f>IFERROR(__xludf.DUMMYFUNCTION("""COMPUTED_VALUE"""),"Shiverstick")</f>
        <v>Shiverstick</v>
      </c>
      <c r="E43" s="12"/>
      <c r="F43" s="12"/>
      <c r="G43" s="12"/>
    </row>
    <row r="44">
      <c r="A44" s="13" t="str">
        <f>IFERROR(__xludf.DUMMYFUNCTION("""COMPUTED_VALUE"""),"Platinum Protection")</f>
        <v>Platinum Protection</v>
      </c>
      <c r="B44" s="14" t="str">
        <f>IFERROR(__xludf.DUMMYFUNCTION("""COMPUTED_VALUE"""),"Chest: The Hekswood")</f>
        <v>Chest: The Hekswood</v>
      </c>
      <c r="C44" s="15" t="str">
        <f>IFERROR(__xludf.DUMMYFUNCTION("""COMPUTED_VALUE"""),"Platinum Platter")</f>
        <v>Platinum Platter</v>
      </c>
      <c r="D44" s="15" t="str">
        <f>IFERROR(__xludf.DUMMYFUNCTION("""COMPUTED_VALUE"""),"Platinum Shield")</f>
        <v>Platinum Shield</v>
      </c>
      <c r="E44" s="16"/>
      <c r="F44" s="16"/>
      <c r="G44" s="16"/>
    </row>
    <row r="45">
      <c r="A45" s="9" t="str">
        <f>IFERROR(__xludf.DUMMYFUNCTION("""COMPUTED_VALUE"""),"Platinum Power")</f>
        <v>Platinum Power</v>
      </c>
      <c r="B45" s="10" t="str">
        <f>IFERROR(__xludf.DUMMYFUNCTION("""COMPUTED_VALUE"""),"Bookshelf: Sniflheim")</f>
        <v>Bookshelf: Sniflheim</v>
      </c>
      <c r="C45" s="11" t="str">
        <f>IFERROR(__xludf.DUMMYFUNCTION("""COMPUTED_VALUE"""),"Platinum Sword")</f>
        <v>Platinum Sword</v>
      </c>
      <c r="D45" s="11" t="str">
        <f>IFERROR(__xludf.DUMMYFUNCTION("""COMPUTED_VALUE"""),"Platinum Powersword")</f>
        <v>Platinum Powersword</v>
      </c>
      <c r="E45" s="11" t="str">
        <f>IFERROR(__xludf.DUMMYFUNCTION("""COMPUTED_VALUE"""),"Platinum Lance")</f>
        <v>Platinum Lance</v>
      </c>
      <c r="F45" s="11" t="str">
        <f>IFERROR(__xludf.DUMMYFUNCTION("""COMPUTED_VALUE"""),"Platinum Claws")</f>
        <v>Platinum Claws</v>
      </c>
      <c r="G45" s="12"/>
    </row>
    <row r="46">
      <c r="A46" s="13" t="str">
        <f>IFERROR(__xludf.DUMMYFUNCTION("""COMPUTED_VALUE"""),"Platinum Plating")</f>
        <v>Platinum Plating</v>
      </c>
      <c r="B46" s="14" t="str">
        <f>IFERROR(__xludf.DUMMYFUNCTION("""COMPUTED_VALUE"""),"Bookshelf: Puerto Valor (Part 2)")</f>
        <v>Bookshelf: Puerto Valor (Part 2)</v>
      </c>
      <c r="C46" s="15" t="str">
        <f>IFERROR(__xludf.DUMMYFUNCTION("""COMPUTED_VALUE"""),"Platinum Headgear")</f>
        <v>Platinum Headgear</v>
      </c>
      <c r="D46" s="15" t="str">
        <f>IFERROR(__xludf.DUMMYFUNCTION("""COMPUTED_VALUE"""),"Platinum Mail")</f>
        <v>Platinum Mail</v>
      </c>
      <c r="E46" s="16"/>
      <c r="F46" s="16"/>
      <c r="G46" s="16"/>
    </row>
    <row r="47">
      <c r="A47" s="9" t="str">
        <f>IFERROR(__xludf.DUMMYFUNCTION("""COMPUTED_VALUE"""),"Favourite Fashions of the Masters of Magic")</f>
        <v>Favourite Fashions of the Masters of Magic</v>
      </c>
      <c r="B47" s="10" t="str">
        <f>IFERROR(__xludf.DUMMYFUNCTION("""COMPUTED_VALUE"""),"Bookshelf: The Royal Library")</f>
        <v>Bookshelf: The Royal Library</v>
      </c>
      <c r="C47" s="11" t="str">
        <f>IFERROR(__xludf.DUMMYFUNCTION("""COMPUTED_VALUE"""),"Witch's Hat")</f>
        <v>Witch's Hat</v>
      </c>
      <c r="D47" s="11" t="str">
        <f>IFERROR(__xludf.DUMMYFUNCTION("""COMPUTED_VALUE"""),"Witch's Robe")</f>
        <v>Witch's Robe</v>
      </c>
      <c r="E47" s="11" t="str">
        <f>IFERROR(__xludf.DUMMYFUNCTION("""COMPUTED_VALUE"""),"Wizard's Robe")</f>
        <v>Wizard's Robe</v>
      </c>
      <c r="F47" s="12"/>
      <c r="G47" s="12"/>
    </row>
    <row r="48">
      <c r="A48" s="13" t="str">
        <f>IFERROR(__xludf.DUMMYFUNCTION("""COMPUTED_VALUE"""),"An Anthology of Elemental Earrings")</f>
        <v>An Anthology of Elemental Earrings</v>
      </c>
      <c r="B48" s="14" t="str">
        <f>IFERROR(__xludf.DUMMYFUNCTION("""COMPUTED_VALUE"""),"Bookshelf: The Royal Library")</f>
        <v>Bookshelf: The Royal Library</v>
      </c>
      <c r="C48" s="15" t="str">
        <f>IFERROR(__xludf.DUMMYFUNCTION("""COMPUTED_VALUE"""),"Asbestos Earrings
Anti-Freeze Earrings")</f>
        <v>Asbestos Earrings
Anti-Freeze Earrings</v>
      </c>
      <c r="D48" s="15" t="str">
        <f>IFERROR(__xludf.DUMMYFUNCTION("""COMPUTED_VALUE"""),"Rubber Earrings
Aerofoil Earrings")</f>
        <v>Rubber Earrings
Aerofoil Earrings</v>
      </c>
      <c r="E48" s="15" t="str">
        <f>IFERROR(__xludf.DUMMYFUNCTION("""COMPUTED_VALUE"""),"Concrete Earrings
Mirror Earrings")</f>
        <v>Concrete Earrings
Mirror Earrings</v>
      </c>
      <c r="F48" s="16"/>
      <c r="G48" s="16"/>
    </row>
    <row r="49">
      <c r="A49" s="9" t="str">
        <f>IFERROR(__xludf.DUMMYFUNCTION("""COMPUTED_VALUE"""),"That's Magic")</f>
        <v>That's Magic</v>
      </c>
      <c r="B49" s="10" t="str">
        <f>IFERROR(__xludf.DUMMYFUNCTION("""COMPUTED_VALUE"""),"Quest: A Cold Crush")</f>
        <v>Quest: A Cold Crush</v>
      </c>
      <c r="C49" s="11" t="str">
        <f>IFERROR(__xludf.DUMMYFUNCTION("""COMPUTED_VALUE"""),"Magic Shield")</f>
        <v>Magic Shield</v>
      </c>
      <c r="D49" s="11" t="str">
        <f>IFERROR(__xludf.DUMMYFUNCTION("""COMPUTED_VALUE"""),"Magic Armour")</f>
        <v>Magic Armour</v>
      </c>
      <c r="E49" s="11" t="str">
        <f>IFERROR(__xludf.DUMMYFUNCTION("""COMPUTED_VALUE"""),"Magic Vestment")</f>
        <v>Magic Vestment</v>
      </c>
      <c r="F49" s="12"/>
      <c r="G49" s="12"/>
    </row>
    <row r="50">
      <c r="A50" s="13" t="str">
        <f>IFERROR(__xludf.DUMMYFUNCTION("""COMPUTED_VALUE"""),"How to Outdo the Undead")</f>
        <v>How to Outdo the Undead</v>
      </c>
      <c r="B50" s="14" t="str">
        <f>IFERROR(__xludf.DUMMYFUNCTION("""COMPUTED_VALUE"""),"Chest: The First Forest")</f>
        <v>Chest: The First Forest</v>
      </c>
      <c r="C50" s="15" t="str">
        <f>IFERROR(__xludf.DUMMYFUNCTION("""COMPUTED_VALUE"""),"Zombie Slayer")</f>
        <v>Zombie Slayer</v>
      </c>
      <c r="D50" s="16"/>
      <c r="E50" s="16"/>
      <c r="F50" s="16"/>
      <c r="G50" s="16"/>
    </row>
    <row r="51">
      <c r="A51" s="23" t="str">
        <f>IFERROR(__xludf.DUMMYFUNCTION("""COMPUTED_VALUE"""),"Part 2")</f>
        <v>Part 2</v>
      </c>
      <c r="B51" s="24"/>
      <c r="C51" s="24"/>
      <c r="D51" s="24"/>
      <c r="E51" s="24"/>
      <c r="F51" s="25"/>
      <c r="G51" s="26"/>
    </row>
    <row r="52">
      <c r="A52" s="13" t="str">
        <f>IFERROR(__xludf.DUMMYFUNCTION("""COMPUTED_VALUE"""),"Footwear of the Rich and Famous")</f>
        <v>Footwear of the Rich and Famous</v>
      </c>
      <c r="B52" s="14" t="str">
        <f>IFERROR(__xludf.DUMMYFUNCTION("""COMPUTED_VALUE"""),"Chest: Cobblestone Tor - Cavern")</f>
        <v>Chest: Cobblestone Tor - Cavern</v>
      </c>
      <c r="C52" s="15" t="str">
        <f>IFERROR(__xludf.DUMMYFUNCTION("""COMPUTED_VALUE"""),"Springheal Boots")</f>
        <v>Springheal Boots</v>
      </c>
      <c r="D52" s="15" t="str">
        <f>IFERROR(__xludf.DUMMYFUNCTION("""COMPUTED_VALUE"""),"Caligae of Clarity")</f>
        <v>Caligae of Clarity</v>
      </c>
      <c r="E52" s="15" t="str">
        <f>IFERROR(__xludf.DUMMYFUNCTION("""COMPUTED_VALUE"""),"Archangel's Boots")</f>
        <v>Archangel's Boots</v>
      </c>
      <c r="F52" s="16"/>
      <c r="G52" s="16"/>
    </row>
    <row r="53">
      <c r="A53" s="9" t="str">
        <f>IFERROR(__xludf.DUMMYFUNCTION("""COMPUTED_VALUE"""),"The Devil's in the Details")</f>
        <v>The Devil's in the Details</v>
      </c>
      <c r="B53" s="10" t="str">
        <f>IFERROR(__xludf.DUMMYFUNCTION("""COMPUTED_VALUE"""),"Bookshelf: Heliodor Castle")</f>
        <v>Bookshelf: Heliodor Castle</v>
      </c>
      <c r="C53" s="11" t="str">
        <f>IFERROR(__xludf.DUMMYFUNCTION("""COMPUTED_VALUE"""),"Demonsbane")</f>
        <v>Demonsbane</v>
      </c>
      <c r="D53" s="11" t="str">
        <f>IFERROR(__xludf.DUMMYFUNCTION("""COMPUTED_VALUE"""),"Demonspear")</f>
        <v>Demonspear</v>
      </c>
      <c r="E53" s="11" t="str">
        <f>IFERROR(__xludf.DUMMYFUNCTION("""COMPUTED_VALUE"""),"Demonwhip")</f>
        <v>Demonwhip</v>
      </c>
      <c r="F53" s="11" t="str">
        <f>IFERROR(__xludf.DUMMYFUNCTION("""COMPUTED_VALUE"""),"Devil's Tail")</f>
        <v>Devil's Tail</v>
      </c>
      <c r="G53" s="12"/>
    </row>
    <row r="54">
      <c r="A54" s="13" t="str">
        <f>IFERROR(__xludf.DUMMYFUNCTION("""COMPUTED_VALUE"""),"A Recipe Book of Regal Regalia")</f>
        <v>A Recipe Book of Regal Regalia</v>
      </c>
      <c r="B54" s="14" t="str">
        <f>IFERROR(__xludf.DUMMYFUNCTION("""COMPUTED_VALUE"""),"Bookshelf: Heliodor Castle")</f>
        <v>Bookshelf: Heliodor Castle</v>
      </c>
      <c r="C54" s="15" t="str">
        <f>IFERROR(__xludf.DUMMYFUNCTION("""COMPUTED_VALUE"""),"King Axe")</f>
        <v>King Axe</v>
      </c>
      <c r="D54" s="15" t="str">
        <f>IFERROR(__xludf.DUMMYFUNCTION("""COMPUTED_VALUE"""),"King's Coat")</f>
        <v>King's Coat</v>
      </c>
      <c r="E54" s="15" t="str">
        <f>IFERROR(__xludf.DUMMYFUNCTION("""COMPUTED_VALUE"""),"Queen's Robe")</f>
        <v>Queen's Robe</v>
      </c>
      <c r="F54" s="16"/>
      <c r="G54" s="16"/>
    </row>
    <row r="55">
      <c r="A55" s="9" t="str">
        <f>IFERROR(__xludf.DUMMYFUNCTION("""COMPUTED_VALUE"""),"Little Lifesavers")</f>
        <v>Little Lifesavers</v>
      </c>
      <c r="B55" s="10" t="str">
        <f>IFERROR(__xludf.DUMMYFUNCTION("""COMPUTED_VALUE"""),"Chest: Heliodor Csatle")</f>
        <v>Chest: Heliodor Csatle</v>
      </c>
      <c r="C55" s="11" t="str">
        <f>IFERROR(__xludf.DUMMYFUNCTION("""COMPUTED_VALUE"""),"Care Ring
Ring of Riddance")</f>
        <v>Care Ring
Ring of Riddance</v>
      </c>
      <c r="D55" s="11" t="str">
        <f>IFERROR(__xludf.DUMMYFUNCTION("""COMPUTED_VALUE"""),"Ring of Immunity
Ring of Truth")</f>
        <v>Ring of Immunity
Ring of Truth</v>
      </c>
      <c r="E55" s="11" t="str">
        <f>IFERROR(__xludf.DUMMYFUNCTION("""COMPUTED_VALUE"""),"Full Moon Ring
Rousing Ring")</f>
        <v>Full Moon Ring
Rousing Ring</v>
      </c>
      <c r="F55" s="11" t="str">
        <f>IFERROR(__xludf.DUMMYFUNCTION("""COMPUTED_VALUE"""),"Ring of Clarity
Sorcerer's Ring")</f>
        <v>Ring of Clarity
Sorcerer's Ring</v>
      </c>
      <c r="G55" s="11" t="str">
        <f>IFERROR(__xludf.DUMMYFUNCTION("""COMPUTED_VALUE"""),"Sorcerer's Stone")</f>
        <v>Sorcerer's Stone</v>
      </c>
    </row>
    <row r="56">
      <c r="A56" s="13" t="str">
        <f>IFERROR(__xludf.DUMMYFUNCTION("""COMPUTED_VALUE"""),"The Emperor's New Axe")</f>
        <v>The Emperor's New Axe</v>
      </c>
      <c r="B56" s="14" t="str">
        <f>IFERROR(__xludf.DUMMYFUNCTION("""COMPUTED_VALUE"""),"Wheel of Harma: First Trial")</f>
        <v>Wheel of Harma: First Trial</v>
      </c>
      <c r="C56" s="15" t="str">
        <f>IFERROR(__xludf.DUMMYFUNCTION("""COMPUTED_VALUE"""),"Kaiser Axe")</f>
        <v>Kaiser Axe</v>
      </c>
      <c r="D56" s="16"/>
      <c r="E56" s="16"/>
      <c r="F56" s="16"/>
      <c r="G56" s="16"/>
    </row>
    <row r="57">
      <c r="A57" s="9" t="str">
        <f>IFERROR(__xludf.DUMMYFUNCTION("""COMPUTED_VALUE"""),"Some Reflections on Protection")</f>
        <v>Some Reflections on Protection</v>
      </c>
      <c r="B57" s="10" t="str">
        <f>IFERROR(__xludf.DUMMYFUNCTION("""COMPUTED_VALUE"""),"Wheel of Harma: Second Trial")</f>
        <v>Wheel of Harma: Second Trial</v>
      </c>
      <c r="C57" s="11" t="str">
        <f>IFERROR(__xludf.DUMMYFUNCTION("""COMPUTED_VALUE"""),"Enchanted Shield")</f>
        <v>Enchanted Shield</v>
      </c>
      <c r="D57" s="12"/>
      <c r="E57" s="12"/>
      <c r="F57" s="12"/>
      <c r="G57" s="12"/>
    </row>
    <row r="58">
      <c r="A58" s="13" t="str">
        <f>IFERROR(__xludf.DUMMYFUNCTION("""COMPUTED_VALUE"""),"Bottling Lightning")</f>
        <v>Bottling Lightning</v>
      </c>
      <c r="B58" s="14" t="str">
        <f>IFERROR(__xludf.DUMMYFUNCTION("""COMPUTED_VALUE"""),"Wheel of Harma: Second Trial (15 Moves)")</f>
        <v>Wheel of Harma: Second Trial (15 Moves)</v>
      </c>
      <c r="C58" s="15" t="str">
        <f>IFERROR(__xludf.DUMMYFUNCTION("""COMPUTED_VALUE"""),"Lightning Conductor")</f>
        <v>Lightning Conductor</v>
      </c>
      <c r="D58" s="16"/>
      <c r="E58" s="16"/>
      <c r="F58" s="16"/>
      <c r="G58" s="16"/>
    </row>
    <row r="59">
      <c r="A59" s="17" t="str">
        <f>IFERROR(__xludf.DUMMYFUNCTION("""COMPUTED_VALUE"""),"Corking Kit for Kings")</f>
        <v>Corking Kit for Kings</v>
      </c>
      <c r="B59" s="10" t="str">
        <f>IFERROR(__xludf.DUMMYFUNCTION("""COMPUTED_VALUE"""),"Wheel of Harma: Third Trial")</f>
        <v>Wheel of Harma: Third Trial</v>
      </c>
      <c r="C59" s="18" t="str">
        <f>IFERROR(__xludf.DUMMYFUNCTION("""COMPUTED_VALUE"""),"Sun Crown")</f>
        <v>Sun Crown</v>
      </c>
      <c r="D59" s="18" t="str">
        <f>IFERROR(__xludf.DUMMYFUNCTION("""COMPUTED_VALUE"""),"Pallium Regale")</f>
        <v>Pallium Regale</v>
      </c>
      <c r="E59" s="19"/>
      <c r="F59" s="19"/>
      <c r="G59" s="19"/>
    </row>
    <row r="60">
      <c r="A60" s="13" t="str">
        <f>IFERROR(__xludf.DUMMYFUNCTION("""COMPUTED_VALUE"""),"The Mothmask Prophecies")</f>
        <v>The Mothmask Prophecies</v>
      </c>
      <c r="B60" s="14" t="str">
        <f>IFERROR(__xludf.DUMMYFUNCTION("""COMPUTED_VALUE"""),"Puerto Valor Casino: 1000 Tokens")</f>
        <v>Puerto Valor Casino: 1000 Tokens</v>
      </c>
      <c r="C60" s="15" t="str">
        <f>IFERROR(__xludf.DUMMYFUNCTION("""COMPUTED_VALUE"""),"Dread Dagger")</f>
        <v>Dread Dagger</v>
      </c>
      <c r="D60" s="15" t="str">
        <f>IFERROR(__xludf.DUMMYFUNCTION("""COMPUTED_VALUE"""),"Papillon Mask")</f>
        <v>Papillon Mask</v>
      </c>
      <c r="E60" s="16"/>
      <c r="F60" s="16"/>
      <c r="G60" s="16"/>
    </row>
    <row r="61">
      <c r="A61" s="9" t="str">
        <f>IFERROR(__xludf.DUMMYFUNCTION("""COMPUTED_VALUE"""),"Gear that Glitters")</f>
        <v>Gear that Glitters</v>
      </c>
      <c r="B61" s="10" t="str">
        <f>IFERROR(__xludf.DUMMYFUNCTION("""COMPUTED_VALUE"""),"Quest: A Delayed Diploma")</f>
        <v>Quest: A Delayed Diploma</v>
      </c>
      <c r="C61" s="11" t="str">
        <f>IFERROR(__xludf.DUMMYFUNCTION("""COMPUTED_VALUE"""),"Twinkling Tuxedo")</f>
        <v>Twinkling Tuxedo</v>
      </c>
      <c r="D61" s="11" t="str">
        <f>IFERROR(__xludf.DUMMYFUNCTION("""COMPUTED_VALUE"""),"Shimmering Dress")</f>
        <v>Shimmering Dress</v>
      </c>
      <c r="E61" s="12"/>
      <c r="F61" s="12"/>
      <c r="G61" s="12"/>
    </row>
    <row r="62">
      <c r="A62" s="20" t="str">
        <f>IFERROR(__xludf.DUMMYFUNCTION("""COMPUTED_VALUE"""),"Glam Gear for Go-Getters")</f>
        <v>Glam Gear for Go-Getters</v>
      </c>
      <c r="B62" s="14" t="str">
        <f>IFERROR(__xludf.DUMMYFUNCTION("""COMPUTED_VALUE"""),"Quest: Madame Labouche's Life Lesson")</f>
        <v>Quest: Madame Labouche's Life Lesson</v>
      </c>
      <c r="C62" s="21" t="str">
        <f>IFERROR(__xludf.DUMMYFUNCTION("""COMPUTED_VALUE"""),"Tiara Tremenda")</f>
        <v>Tiara Tremenda</v>
      </c>
      <c r="D62" s="21" t="str">
        <f>IFERROR(__xludf.DUMMYFUNCTION("""COMPUTED_VALUE"""),"Glad Rags")</f>
        <v>Glad Rags</v>
      </c>
      <c r="E62" s="22"/>
      <c r="F62" s="22"/>
      <c r="G62" s="22"/>
    </row>
    <row r="63">
      <c r="A63" s="9" t="str">
        <f>IFERROR(__xludf.DUMMYFUNCTION("""COMPUTED_VALUE"""),"Fine Fashions for Philosophers")</f>
        <v>Fine Fashions for Philosophers</v>
      </c>
      <c r="B63" s="10" t="str">
        <f>IFERROR(__xludf.DUMMYFUNCTION("""COMPUTED_VALUE"""),"Quest: A Ballad of Bravery")</f>
        <v>Quest: A Ballad of Bravery</v>
      </c>
      <c r="C63" s="11" t="str">
        <f>IFERROR(__xludf.DUMMYFUNCTION("""COMPUTED_VALUE"""),"Sage's Staff")</f>
        <v>Sage's Staff</v>
      </c>
      <c r="D63" s="11" t="str">
        <f>IFERROR(__xludf.DUMMYFUNCTION("""COMPUTED_VALUE"""),"Scholar's Cap")</f>
        <v>Scholar's Cap</v>
      </c>
      <c r="E63" s="11" t="str">
        <f>IFERROR(__xludf.DUMMYFUNCTION("""COMPUTED_VALUE"""),"Thinking Cap")</f>
        <v>Thinking Cap</v>
      </c>
      <c r="F63" s="11" t="str">
        <f>IFERROR(__xludf.DUMMYFUNCTION("""COMPUTED_VALUE"""),"Guru's Gloves")</f>
        <v>Guru's Gloves</v>
      </c>
      <c r="G63" s="12"/>
    </row>
    <row r="64">
      <c r="A64" s="13" t="str">
        <f>IFERROR(__xludf.DUMMYFUNCTION("""COMPUTED_VALUE"""),"Your Very Own Aegis of Illusions")</f>
        <v>Your Very Own Aegis of Illusions</v>
      </c>
      <c r="B64" s="14" t="str">
        <f>IFERROR(__xludf.DUMMYFUNCTION("""COMPUTED_VALUE"""),"Octagonia Casino: 5000 Tokens")</f>
        <v>Octagonia Casino: 5000 Tokens</v>
      </c>
      <c r="C64" s="15" t="str">
        <f>IFERROR(__xludf.DUMMYFUNCTION("""COMPUTED_VALUE"""),"Ethereal Shield")</f>
        <v>Ethereal Shield</v>
      </c>
      <c r="D64" s="16"/>
      <c r="E64" s="16"/>
      <c r="F64" s="16"/>
      <c r="G64" s="16"/>
    </row>
    <row r="65">
      <c r="A65" s="9" t="str">
        <f>IFERROR(__xludf.DUMMYFUNCTION("""COMPUTED_VALUE"""),"Making the Most of Mythril")</f>
        <v>Making the Most of Mythril</v>
      </c>
      <c r="B65" s="10" t="str">
        <f>IFERROR(__xludf.DUMMYFUNCTION("""COMPUTED_VALUE"""),"Quest: The Search for the Sage's Stone")</f>
        <v>Quest: The Search for the Sage's Stone</v>
      </c>
      <c r="C65" s="11" t="str">
        <f>IFERROR(__xludf.DUMMYFUNCTION("""COMPUTED_VALUE"""),"Fizzle Foil")</f>
        <v>Fizzle Foil</v>
      </c>
      <c r="D65" s="11" t="str">
        <f>IFERROR(__xludf.DUMMYFUNCTION("""COMPUTED_VALUE"""),"Mythril Helm")</f>
        <v>Mythril Helm</v>
      </c>
      <c r="E65" s="11" t="str">
        <f>IFERROR(__xludf.DUMMYFUNCTION("""COMPUTED_VALUE"""),"Dancer's Mail")</f>
        <v>Dancer's Mail</v>
      </c>
      <c r="F65" s="12"/>
      <c r="G65" s="12"/>
    </row>
    <row r="66">
      <c r="A66" s="13" t="str">
        <f>IFERROR(__xludf.DUMMYFUNCTION("""COMPUTED_VALUE"""),"Things to Do with Metal Goo")</f>
        <v>Things to Do with Metal Goo</v>
      </c>
      <c r="B66" s="14" t="str">
        <f>IFERROR(__xludf.DUMMYFUNCTION("""COMPUTED_VALUE"""),"Quest: A Long-Lost Literary Love")</f>
        <v>Quest: A Long-Lost Literary Love</v>
      </c>
      <c r="C66" s="15" t="str">
        <f>IFERROR(__xludf.DUMMYFUNCTION("""COMPUTED_VALUE"""),"Metal Slime Sword
Metal Gooreatsword")</f>
        <v>Metal Slime Sword
Metal Gooreatsword</v>
      </c>
      <c r="D66" s="15" t="str">
        <f>IFERROR(__xludf.DUMMYFUNCTION("""COMPUTED_VALUE"""),"Metal Goomerang
Metal Slime Spear ")</f>
        <v>Metal Goomerang
Metal Slime Spear </v>
      </c>
      <c r="E66" s="15" t="str">
        <f>IFERROR(__xludf.DUMMYFUNCTION("""COMPUTED_VALUE"""),"Metal Slime Shield
Metal Slime Helm")</f>
        <v>Metal Slime Shield
Metal Slime Helm</v>
      </c>
      <c r="F66" s="15" t="str">
        <f>IFERROR(__xludf.DUMMYFUNCTION("""COMPUTED_VALUE"""),"Metal Slime Armour")</f>
        <v>Metal Slime Armour</v>
      </c>
      <c r="G66" s="16"/>
    </row>
    <row r="67">
      <c r="A67" s="9" t="str">
        <f>IFERROR(__xludf.DUMMYFUNCTION("""COMPUTED_VALUE"""),"Secrets of the Sunken Spirit")</f>
        <v>Secrets of the Sunken Spirit</v>
      </c>
      <c r="B67" s="10" t="str">
        <f>IFERROR(__xludf.DUMMYFUNCTION("""COMPUTED_VALUE"""),"Quest: Marking a Momentous Occasion")</f>
        <v>Quest: Marking a Momentous Occasion</v>
      </c>
      <c r="C67" s="11" t="str">
        <f>IFERROR(__xludf.DUMMYFUNCTION("""COMPUTED_VALUE"""),"Full Fathom Fork")</f>
        <v>Full Fathom Fork</v>
      </c>
      <c r="D67" s="12"/>
      <c r="E67" s="12"/>
      <c r="F67" s="12"/>
      <c r="G67" s="12"/>
    </row>
    <row r="68">
      <c r="A68" s="13" t="str">
        <f>IFERROR(__xludf.DUMMYFUNCTION("""COMPUTED_VALUE"""),"Snowfield Styles")</f>
        <v>Snowfield Styles</v>
      </c>
      <c r="B68" s="14" t="str">
        <f>IFERROR(__xludf.DUMMYFUNCTION("""COMPUTED_VALUE"""),"Chest: Sniflheim Region (Past the Shelter)")</f>
        <v>Chest: Sniflheim Region (Past the Shelter)</v>
      </c>
      <c r="C68" s="15" t="str">
        <f>IFERROR(__xludf.DUMMYFUNCTION("""COMPUTED_VALUE"""),"Fenrir Fang")</f>
        <v>Fenrir Fang</v>
      </c>
      <c r="D68" s="15" t="str">
        <f>IFERROR(__xludf.DUMMYFUNCTION("""COMPUTED_VALUE"""),"Ice Claws")</f>
        <v>Ice Claws</v>
      </c>
      <c r="E68" s="15" t="str">
        <f>IFERROR(__xludf.DUMMYFUNCTION("""COMPUTED_VALUE"""),"Avalanche Axe")</f>
        <v>Avalanche Axe</v>
      </c>
      <c r="F68" s="16"/>
      <c r="G68" s="16"/>
    </row>
    <row r="69">
      <c r="A69" s="9" t="str">
        <f>IFERROR(__xludf.DUMMYFUNCTION("""COMPUTED_VALUE"""),"Gilt Gear")</f>
        <v>Gilt Gear</v>
      </c>
      <c r="B69" s="10" t="str">
        <f>IFERROR(__xludf.DUMMYFUNCTION("""COMPUTED_VALUE"""),"Chest: Gyldenhall")</f>
        <v>Chest: Gyldenhall</v>
      </c>
      <c r="C69" s="11" t="str">
        <f>IFERROR(__xludf.DUMMYFUNCTION("""COMPUTED_VALUE"""),"Gold Circlet")</f>
        <v>Gold Circlet</v>
      </c>
      <c r="D69" s="12"/>
      <c r="E69" s="12"/>
      <c r="F69" s="12"/>
      <c r="G69" s="12"/>
    </row>
    <row r="70">
      <c r="A70" s="13" t="str">
        <f>IFERROR(__xludf.DUMMYFUNCTION("""COMPUTED_VALUE"""),"Good Godly Gear")</f>
        <v>Good Godly Gear</v>
      </c>
      <c r="B70" s="14" t="str">
        <f>IFERROR(__xludf.DUMMYFUNCTION("""COMPUTED_VALUE"""),"Chest: The Lost Land")</f>
        <v>Chest: The Lost Land</v>
      </c>
      <c r="C70" s="15" t="str">
        <f>IFERROR(__xludf.DUMMYFUNCTION("""COMPUTED_VALUE"""),"Sacrosanct Staff")</f>
        <v>Sacrosanct Staff</v>
      </c>
      <c r="D70" s="15" t="str">
        <f>IFERROR(__xludf.DUMMYFUNCTION("""COMPUTED_VALUE"""),"Venus' Tear")</f>
        <v>Venus' Tear</v>
      </c>
      <c r="E70" s="16"/>
      <c r="F70" s="16"/>
      <c r="G70" s="16"/>
    </row>
    <row r="71">
      <c r="A71" s="9" t="str">
        <f>IFERROR(__xludf.DUMMYFUNCTION("""COMPUTED_VALUE"""),"An Earring for Every Element")</f>
        <v>An Earring for Every Element</v>
      </c>
      <c r="B71" s="10" t="str">
        <f>IFERROR(__xludf.DUMMYFUNCTION("""COMPUTED_VALUE"""),"Chest: Champs Sauyvage Whale Way Station")</f>
        <v>Chest: Champs Sauyvage Whale Way Station</v>
      </c>
      <c r="C71" s="11" t="str">
        <f>IFERROR(__xludf.DUMMYFUNCTION("""COMPUTED_VALUE"""),"Cinderblock Earrings")</f>
        <v>Cinderblock Earrings</v>
      </c>
      <c r="D71" s="11" t="str">
        <f>IFERROR(__xludf.DUMMYFUNCTION("""COMPUTED_VALUE"""),"All-Weather Earrings")</f>
        <v>All-Weather Earrings</v>
      </c>
      <c r="E71" s="11" t="str">
        <f>IFERROR(__xludf.DUMMYFUNCTION("""COMPUTED_VALUE"""),"Blackout Earrings")</f>
        <v>Blackout Earrings</v>
      </c>
      <c r="F71" s="12"/>
      <c r="G71" s="12"/>
    </row>
    <row r="72">
      <c r="A72" s="13" t="str">
        <f>IFERROR(__xludf.DUMMYFUNCTION("""COMPUTED_VALUE"""),"An Album of Imperial Attire")</f>
        <v>An Album of Imperial Attire</v>
      </c>
      <c r="B72" s="14" t="str">
        <f>IFERROR(__xludf.DUMMYFUNCTION("""COMPUTED_VALUE"""),"Chest: Sniflheim Whale Way Station")</f>
        <v>Chest: Sniflheim Whale Way Station</v>
      </c>
      <c r="C72" s="15" t="str">
        <f>IFERROR(__xludf.DUMMYFUNCTION("""COMPUTED_VALUE"""),"Emperor's Attire")</f>
        <v>Emperor's Attire</v>
      </c>
      <c r="D72" s="15" t="str">
        <f>IFERROR(__xludf.DUMMYFUNCTION("""COMPUTED_VALUE"""),"Empress's Robe")</f>
        <v>Empress's Robe</v>
      </c>
      <c r="E72" s="16"/>
      <c r="F72" s="16"/>
      <c r="G72" s="16"/>
    </row>
    <row r="73">
      <c r="A73" s="9" t="str">
        <f>IFERROR(__xludf.DUMMYFUNCTION("""COMPUTED_VALUE"""),"An Encyclopaedia of Expert Equipment")</f>
        <v>An Encyclopaedia of Expert Equipment</v>
      </c>
      <c r="B73" s="10" t="str">
        <f>IFERROR(__xludf.DUMMYFUNCTION("""COMPUTED_VALUE"""),"Chest: The Battleground")</f>
        <v>Chest: The Battleground</v>
      </c>
      <c r="C73" s="11" t="str">
        <f>IFERROR(__xludf.DUMMYFUNCTION("""COMPUTED_VALUE"""),"Ogre Shield")</f>
        <v>Ogre Shield</v>
      </c>
      <c r="D73" s="11" t="str">
        <f>IFERROR(__xludf.DUMMYFUNCTION("""COMPUTED_VALUE"""),"Brigand's Mitts")</f>
        <v>Brigand's Mitts</v>
      </c>
      <c r="E73" s="11" t="str">
        <f>IFERROR(__xludf.DUMMYFUNCTION("""COMPUTED_VALUE"""),"Titan Belt")</f>
        <v>Titan Belt</v>
      </c>
      <c r="F73" s="12"/>
      <c r="G73" s="12"/>
    </row>
    <row r="74">
      <c r="A74" s="13" t="str">
        <f>IFERROR(__xludf.DUMMYFUNCTION("""COMPUTED_VALUE"""),"Brace Yourself")</f>
        <v>Brace Yourself</v>
      </c>
      <c r="B74" s="14" t="str">
        <f>IFERROR(__xludf.DUMMYFUNCTION("""COMPUTED_VALUE"""),"Chest: The Battleground")</f>
        <v>Chest: The Battleground</v>
      </c>
      <c r="C74" s="15" t="str">
        <f>IFERROR(__xludf.DUMMYFUNCTION("""COMPUTED_VALUE"""),"Life Bracer")</f>
        <v>Life Bracer</v>
      </c>
      <c r="D74" s="15" t="str">
        <f>IFERROR(__xludf.DUMMYFUNCTION("""COMPUTED_VALUE"""),"Mighty Armlet")</f>
        <v>Mighty Armlet</v>
      </c>
      <c r="E74" s="15" t="str">
        <f>IFERROR(__xludf.DUMMYFUNCTION("""COMPUTED_VALUE"""),"Brainy Bracer")</f>
        <v>Brainy Bracer</v>
      </c>
      <c r="F74" s="15" t="str">
        <f>IFERROR(__xludf.DUMMYFUNCTION("""COMPUTED_VALUE"""),"Spirit Bracer")</f>
        <v>Spirit Bracer</v>
      </c>
      <c r="G74" s="15" t="str">
        <f>IFERROR(__xludf.DUMMYFUNCTION("""COMPUTED_VALUE"""),"Wristorative")</f>
        <v>Wristorative</v>
      </c>
    </row>
    <row r="75">
      <c r="A75" s="17" t="str">
        <f>IFERROR(__xludf.DUMMYFUNCTION("""COMPUTED_VALUE"""),"Sacred Styles for Saintly Ladies")</f>
        <v>Sacred Styles for Saintly Ladies</v>
      </c>
      <c r="B75" s="10" t="str">
        <f>IFERROR(__xludf.DUMMYFUNCTION("""COMPUTED_VALUE"""),"Chest: The Battleground")</f>
        <v>Chest: The Battleground</v>
      </c>
      <c r="C75" s="18" t="str">
        <f>IFERROR(__xludf.DUMMYFUNCTION("""COMPUTED_VALUE"""),"Goddess's Tiara")</f>
        <v>Goddess's Tiara</v>
      </c>
      <c r="D75" s="18" t="str">
        <f>IFERROR(__xludf.DUMMYFUNCTION("""COMPUTED_VALUE"""),"Saintess Dress")</f>
        <v>Saintess Dress</v>
      </c>
      <c r="E75" s="19"/>
      <c r="F75" s="19"/>
      <c r="G75" s="19"/>
    </row>
    <row r="76">
      <c r="A76" s="20" t="str">
        <f>IFERROR(__xludf.DUMMYFUNCTION("""COMPUTED_VALUE"""),"General Directives")</f>
        <v>General Directives</v>
      </c>
      <c r="B76" s="14" t="str">
        <f>IFERROR(__xludf.DUMMYFUNCTION("""COMPUTED_VALUE"""),"Chest: Final Dungeon")</f>
        <v>Chest: Final Dungeon</v>
      </c>
      <c r="C76" s="21" t="str">
        <f>IFERROR(__xludf.DUMMYFUNCTION("""COMPUTED_VALUE"""),"General's Jacket")</f>
        <v>General's Jacket</v>
      </c>
      <c r="D76" s="21" t="str">
        <f>IFERROR(__xludf.DUMMYFUNCTION("""COMPUTED_VALUE"""),"General's Jackboots")</f>
        <v>General's Jackboots</v>
      </c>
      <c r="E76" s="22"/>
      <c r="F76" s="22"/>
      <c r="G76" s="22"/>
    </row>
    <row r="77">
      <c r="A77" s="9" t="str">
        <f>IFERROR(__xludf.DUMMYFUNCTION("""COMPUTED_VALUE"""),"In Fine Fettle with Liquid Metal")</f>
        <v>In Fine Fettle with Liquid Metal</v>
      </c>
      <c r="B77" s="10" t="str">
        <f>IFERROR(__xludf.DUMMYFUNCTION("""COMPUTED_VALUE"""),"Chest: Final Dungeon")</f>
        <v>Chest: Final Dungeon</v>
      </c>
      <c r="C77" s="11" t="str">
        <f>IFERROR(__xludf.DUMMYFUNCTION("""COMPUTED_VALUE"""),"Liquid Metal Sword
Liquid Metal Gooreatsword")</f>
        <v>Liquid Metal Sword
Liquid Metal Gooreatsword</v>
      </c>
      <c r="D77" s="11" t="str">
        <f>IFERROR(__xludf.DUMMYFUNCTION("""COMPUTED_VALUE"""),"Liquid Metal Goomerang
Liquid Metal Spear")</f>
        <v>Liquid Metal Goomerang
Liquid Metal Spear</v>
      </c>
      <c r="E77" s="11" t="str">
        <f>IFERROR(__xludf.DUMMYFUNCTION("""COMPUTED_VALUE"""),"Liquid Metal Shield
Liquid Metal Helm")</f>
        <v>Liquid Metal Shield
Liquid Metal Helm</v>
      </c>
      <c r="F77" s="11" t="str">
        <f>IFERROR(__xludf.DUMMYFUNCTION("""COMPUTED_VALUE"""),"Liquid Metal Jacket
Liquid Metal Armour")</f>
        <v>Liquid Metal Jacket
Liquid Metal Armour</v>
      </c>
      <c r="G77" s="12"/>
    </row>
    <row r="78">
      <c r="A78" s="20" t="str">
        <f>IFERROR(__xludf.DUMMYFUNCTION("""COMPUTED_VALUE"""),"Pride of the Valkyries")</f>
        <v>Pride of the Valkyries</v>
      </c>
      <c r="B78" s="14" t="str">
        <f>IFERROR(__xludf.DUMMYFUNCTION("""COMPUTED_VALUE"""),"Chest: Final Dungeon")</f>
        <v>Chest: Final Dungeon</v>
      </c>
      <c r="C78" s="27" t="str">
        <f>IFERROR(__xludf.DUMMYFUNCTION("""COMPUTED_VALUE"""),"Warrior Princess Headdress")</f>
        <v>Warrior Princess Headdress</v>
      </c>
      <c r="D78" s="21" t="str">
        <f>IFERROR(__xludf.DUMMYFUNCTION("""COMPUTED_VALUE"""),"Warrior Princess's Dress")</f>
        <v>Warrior Princess's Dress</v>
      </c>
      <c r="E78" s="22"/>
      <c r="F78" s="22"/>
      <c r="G78" s="22"/>
    </row>
    <row r="79">
      <c r="A79" s="23" t="str">
        <f>IFERROR(__xludf.DUMMYFUNCTION("""COMPUTED_VALUE"""),"Postgame")</f>
        <v>Postgame</v>
      </c>
      <c r="B79" s="24"/>
      <c r="C79" s="24"/>
      <c r="D79" s="24"/>
      <c r="E79" s="24"/>
      <c r="F79" s="24"/>
      <c r="G79" s="25"/>
    </row>
    <row r="80">
      <c r="A80" s="13" t="str">
        <f>IFERROR(__xludf.DUMMYFUNCTION("""COMPUTED_VALUE"""),"Badges of Honour")</f>
        <v>Badges of Honour</v>
      </c>
      <c r="B80" s="14" t="str">
        <f>IFERROR(__xludf.DUMMYFUNCTION("""COMPUTED_VALUE"""),"Ultimate Key: Sniflheim Castle")</f>
        <v>Ultimate Key: Sniflheim Castle</v>
      </c>
      <c r="C80" s="15" t="str">
        <f>IFERROR(__xludf.DUMMYFUNCTION("""COMPUTED_VALUE"""),"Sovereign Seal")</f>
        <v>Sovereign Seal</v>
      </c>
      <c r="D80" s="15" t="str">
        <f>IFERROR(__xludf.DUMMYFUNCTION("""COMPUTED_VALUE"""),"Monarchic Mark")</f>
        <v>Monarchic Mark</v>
      </c>
      <c r="E80" s="16"/>
      <c r="F80" s="16"/>
      <c r="G80" s="16"/>
    </row>
    <row r="81">
      <c r="A81" s="17" t="str">
        <f>IFERROR(__xludf.DUMMYFUNCTION("""COMPUTED_VALUE"""),"King of the Swindlers")</f>
        <v>King of the Swindlers</v>
      </c>
      <c r="B81" s="10" t="str">
        <f>IFERROR(__xludf.DUMMYFUNCTION("""COMPUTED_VALUE"""),"Ultimate Key: Heliodor Prison")</f>
        <v>Ultimate Key: Heliodor Prison</v>
      </c>
      <c r="C81" s="18" t="str">
        <f>IFERROR(__xludf.DUMMYFUNCTION("""COMPUTED_VALUE"""),"Swindler King's Scarf")</f>
        <v>Swindler King's Scarf</v>
      </c>
      <c r="D81" s="18" t="str">
        <f>IFERROR(__xludf.DUMMYFUNCTION("""COMPUTED_VALUE"""),"Swindler King's Stole")</f>
        <v>Swindler King's Stole</v>
      </c>
      <c r="E81" s="19"/>
      <c r="F81" s="19"/>
      <c r="G81" s="19"/>
    </row>
    <row r="82">
      <c r="A82" s="20" t="str">
        <f>IFERROR(__xludf.DUMMYFUNCTION("""COMPUTED_VALUE"""),"Field Manual")</f>
        <v>Field Manual</v>
      </c>
      <c r="B82" s="14" t="str">
        <f>IFERROR(__xludf.DUMMYFUNCTION("""COMPUTED_VALUE"""),"Ultimate Key: The Cryptic Crypts")</f>
        <v>Ultimate Key: The Cryptic Crypts</v>
      </c>
      <c r="C82" s="21" t="str">
        <f>IFERROR(__xludf.DUMMYFUNCTION("""COMPUTED_VALUE"""),"Field Marshal's Finery")</f>
        <v>Field Marshal's Finery</v>
      </c>
      <c r="D82" s="21" t="str">
        <f>IFERROR(__xludf.DUMMYFUNCTION("""COMPUTED_VALUE"""),"Field Marshal's Footwear")</f>
        <v>Field Marshal's Footwear</v>
      </c>
      <c r="E82" s="22"/>
      <c r="F82" s="22"/>
      <c r="G82" s="22"/>
    </row>
    <row r="83">
      <c r="A83" s="17" t="str">
        <f>IFERROR(__xludf.DUMMYFUNCTION("""COMPUTED_VALUE"""),"Gifts from the Goddess")</f>
        <v>Gifts from the Goddess</v>
      </c>
      <c r="B83" s="10" t="str">
        <f>IFERROR(__xludf.DUMMYFUNCTION("""COMPUTED_VALUE"""),"Ultimate Key: Insula Incognita")</f>
        <v>Ultimate Key: Insula Incognita</v>
      </c>
      <c r="C83" s="18" t="str">
        <f>IFERROR(__xludf.DUMMYFUNCTION("""COMPUTED_VALUE"""),"Sacred Circlet")</f>
        <v>Sacred Circlet</v>
      </c>
      <c r="D83" s="18" t="str">
        <f>IFERROR(__xludf.DUMMYFUNCTION("""COMPUTED_VALUE"""),"Sacred Raiment")</f>
        <v>Sacred Raiment</v>
      </c>
      <c r="E83" s="19"/>
      <c r="F83" s="19"/>
      <c r="G83" s="19"/>
    </row>
    <row r="84">
      <c r="A84" s="13" t="str">
        <f>IFERROR(__xludf.DUMMYFUNCTION("""COMPUTED_VALUE"""),"Circles of Life")</f>
        <v>Circles of Life</v>
      </c>
      <c r="B84" s="14" t="str">
        <f>IFERROR(__xludf.DUMMYFUNCTION("""COMPUTED_VALUE"""),"Ultimate Key: Insula Orientalis")</f>
        <v>Ultimate Key: Insula Orientalis</v>
      </c>
      <c r="C84" s="15" t="str">
        <f>IFERROR(__xludf.DUMMYFUNCTION("""COMPUTED_VALUE"""),"Life Ring")</f>
        <v>Life Ring</v>
      </c>
      <c r="D84" s="15" t="str">
        <f>IFERROR(__xludf.DUMMYFUNCTION("""COMPUTED_VALUE"""),"Skull Ring")</f>
        <v>Skull Ring</v>
      </c>
      <c r="E84" s="16"/>
      <c r="F84" s="16"/>
      <c r="G84" s="16"/>
    </row>
    <row r="85">
      <c r="A85" s="9" t="str">
        <f>IFERROR(__xludf.DUMMYFUNCTION("""COMPUTED_VALUE"""),"Sizzling Styles")</f>
        <v>Sizzling Styles</v>
      </c>
      <c r="B85" s="10" t="str">
        <f>IFERROR(__xludf.DUMMYFUNCTION("""COMPUTED_VALUE"""),"Ultimate Key: Hotto Steppe - Northern Whale Way")</f>
        <v>Ultimate Key: Hotto Steppe - Northern Whale Way</v>
      </c>
      <c r="C85" s="11" t="str">
        <f>IFERROR(__xludf.DUMMYFUNCTION("""COMPUTED_VALUE"""),"Inferno Blade")</f>
        <v>Inferno Blade</v>
      </c>
      <c r="D85" s="11" t="str">
        <f>IFERROR(__xludf.DUMMYFUNCTION("""COMPUTED_VALUE"""),"Flame Tang")</f>
        <v>Flame Tang</v>
      </c>
      <c r="E85" s="11" t="str">
        <f>IFERROR(__xludf.DUMMYFUNCTION("""COMPUTED_VALUE"""),"Banefire Boomerang")</f>
        <v>Banefire Boomerang</v>
      </c>
      <c r="F85" s="11" t="str">
        <f>IFERROR(__xludf.DUMMYFUNCTION("""COMPUTED_VALUE"""),"Combusticlaws")</f>
        <v>Combusticlaws</v>
      </c>
      <c r="G85" s="11" t="str">
        <f>IFERROR(__xludf.DUMMYFUNCTION("""COMPUTED_VALUE"""),"Crimson Robe")</f>
        <v>Crimson Robe</v>
      </c>
    </row>
    <row r="86">
      <c r="A86" s="13" t="str">
        <f>IFERROR(__xludf.DUMMYFUNCTION("""COMPUTED_VALUE"""),"Sage Advice")</f>
        <v>Sage Advice</v>
      </c>
      <c r="B86" s="14" t="str">
        <f>IFERROR(__xludf.DUMMYFUNCTION("""COMPUTED_VALUE"""),"Ultimate Key: Sniflheim Whale Way Station")</f>
        <v>Ultimate Key: Sniflheim Whale Way Station</v>
      </c>
      <c r="C86" s="15" t="str">
        <f>IFERROR(__xludf.DUMMYFUNCTION("""COMPUTED_VALUE"""),"Supreme Sage's Staff")</f>
        <v>Supreme Sage's Staff</v>
      </c>
      <c r="D86" s="15" t="str">
        <f>IFERROR(__xludf.DUMMYFUNCTION("""COMPUTED_VALUE"""),"Scholar's Specs")</f>
        <v>Scholar's Specs</v>
      </c>
      <c r="E86" s="15" t="str">
        <f>IFERROR(__xludf.DUMMYFUNCTION("""COMPUTED_VALUE"""),"Minister's Mitts")</f>
        <v>Minister's Mitts</v>
      </c>
      <c r="F86" s="15" t="str">
        <f>IFERROR(__xludf.DUMMYFUNCTION("""COMPUTED_VALUE"""),"Ruby of Protection")</f>
        <v>Ruby of Protection</v>
      </c>
      <c r="G86" s="16"/>
    </row>
    <row r="87">
      <c r="A87" s="17" t="str">
        <f>IFERROR(__xludf.DUMMYFUNCTION("""COMPUTED_VALUE"""),"The Way of the War Goddess")</f>
        <v>The Way of the War Goddess</v>
      </c>
      <c r="B87" s="10" t="str">
        <f>IFERROR(__xludf.DUMMYFUNCTION("""COMPUTED_VALUE"""),"Ultimate Key: The Battleground")</f>
        <v>Ultimate Key: The Battleground</v>
      </c>
      <c r="C87" s="18" t="str">
        <f>IFERROR(__xludf.DUMMYFUNCTION("""COMPUTED_VALUE"""),"Minerva's Tiara")</f>
        <v>Minerva's Tiara</v>
      </c>
      <c r="D87" s="18" t="str">
        <f>IFERROR(__xludf.DUMMYFUNCTION("""COMPUTED_VALUE"""),"Minerva's Raiment")</f>
        <v>Minerva's Raiment</v>
      </c>
      <c r="E87" s="19"/>
      <c r="F87" s="19"/>
      <c r="G87" s="19"/>
    </row>
    <row r="88">
      <c r="A88" s="13" t="str">
        <f>IFERROR(__xludf.DUMMYFUNCTION("""COMPUTED_VALUE"""),"Get Your Drag-On")</f>
        <v>Get Your Drag-On</v>
      </c>
      <c r="B88" s="14" t="str">
        <f>IFERROR(__xludf.DUMMYFUNCTION("""COMPUTED_VALUE"""),"Wheel of Harma: Fourth Trial (25 Moves)")</f>
        <v>Wheel of Harma: Fourth Trial (25 Moves)</v>
      </c>
      <c r="C88" s="15" t="str">
        <f>IFERROR(__xludf.DUMMYFUNCTION("""COMPUTED_VALUE"""),"Lucky Dragon's Wing")</f>
        <v>Lucky Dragon's Wing</v>
      </c>
      <c r="D88" s="15" t="str">
        <f>IFERROR(__xludf.DUMMYFUNCTION("""COMPUTED_VALUE"""),"Earthwyrm's Eye")</f>
        <v>Earthwyrm's Eye</v>
      </c>
      <c r="E88" s="16"/>
      <c r="F88" s="16"/>
      <c r="G88" s="16"/>
    </row>
    <row r="89">
      <c r="A89" s="17" t="str">
        <f>IFERROR(__xludf.DUMMYFUNCTION("""COMPUTED_VALUE"""),"Shine on, Xenlon")</f>
        <v>Shine on, Xenlon</v>
      </c>
      <c r="B89" s="10" t="str">
        <f>IFERROR(__xludf.DUMMYFUNCTION("""COMPUTED_VALUE"""),"Wheel of Harma: Fourth Trial (20 Moves)")</f>
        <v>Wheel of Harma: Fourth Trial (20 Moves)</v>
      </c>
      <c r="C89" s="18" t="str">
        <f>IFERROR(__xludf.DUMMYFUNCTION("""COMPUTED_VALUE"""),"Xenlon Hair Ring")</f>
        <v>Xenlon Hair Ring</v>
      </c>
      <c r="D89" s="18" t="str">
        <f>IFERROR(__xludf.DUMMYFUNCTION("""COMPUTED_VALUE"""),"Xenlon Gown")</f>
        <v>Xenlon Gown</v>
      </c>
      <c r="E89" s="19"/>
      <c r="F89" s="19"/>
      <c r="G89" s="19"/>
    </row>
    <row r="90">
      <c r="A90" s="13" t="str">
        <f>IFERROR(__xludf.DUMMYFUNCTION("""COMPUTED_VALUE"""),"Orichalcum: Ore Blimey")</f>
        <v>Orichalcum: Ore Blimey</v>
      </c>
      <c r="B90" s="14" t="str">
        <f>IFERROR(__xludf.DUMMYFUNCTION("""COMPUTED_VALUE"""),"Wheel of Harma: Final Trial")</f>
        <v>Wheel of Harma: Final Trial</v>
      </c>
      <c r="C90" s="15" t="str">
        <f>IFERROR(__xludf.DUMMYFUNCTION("""COMPUTED_VALUE"""),"Legate's Blade")</f>
        <v>Legate's Blade</v>
      </c>
      <c r="D90" s="15" t="str">
        <f>IFERROR(__xludf.DUMMYFUNCTION("""COMPUTED_VALUE"""),"Orichalcum Claws")</f>
        <v>Orichalcum Claws</v>
      </c>
      <c r="E90" s="15" t="str">
        <f>IFERROR(__xludf.DUMMYFUNCTION("""COMPUTED_VALUE"""),"Meteorite Bracer")</f>
        <v>Meteorite Bracer</v>
      </c>
      <c r="F90" s="16"/>
      <c r="G90" s="16"/>
    </row>
    <row r="91">
      <c r="A91" s="17" t="str">
        <f>IFERROR(__xludf.DUMMYFUNCTION("""COMPUTED_VALUE"""),"A Guide to Godly Get-Up")</f>
        <v>A Guide to Godly Get-Up</v>
      </c>
      <c r="B91" s="10" t="str">
        <f>IFERROR(__xludf.DUMMYFUNCTION("""COMPUTED_VALUE"""),"Wheel of Harma: Final Trial (40 Moves)")</f>
        <v>Wheel of Harma: Final Trial (40 Moves)</v>
      </c>
      <c r="C91" s="18" t="str">
        <f>IFERROR(__xludf.DUMMYFUNCTION("""COMPUTED_VALUE"""),"Apollo's Crown")</f>
        <v>Apollo's Crown</v>
      </c>
      <c r="D91" s="18" t="str">
        <f>IFERROR(__xludf.DUMMYFUNCTION("""COMPUTED_VALUE"""),"Potentate's Pallium")</f>
        <v>Potentate's Pallium</v>
      </c>
      <c r="E91" s="19"/>
      <c r="F91" s="19"/>
      <c r="G91" s="19"/>
    </row>
    <row r="92">
      <c r="A92" s="20" t="str">
        <f>IFERROR(__xludf.DUMMYFUNCTION("""COMPUTED_VALUE"""),"What a Wonderful World Tree")</f>
        <v>What a Wonderful World Tree</v>
      </c>
      <c r="B92" s="14" t="str">
        <f>IFERROR(__xludf.DUMMYFUNCTION("""COMPUTED_VALUE"""),"Chest: Sage's Trial - Fierce Forest")</f>
        <v>Chest: Sage's Trial - Fierce Forest</v>
      </c>
      <c r="C92" s="21" t="str">
        <f>IFERROR(__xludf.DUMMYFUNCTION("""COMPUTED_VALUE"""),"Yggdrasil Crown")</f>
        <v>Yggdrasil Crown</v>
      </c>
      <c r="D92" s="21" t="str">
        <f>IFERROR(__xludf.DUMMYFUNCTION("""COMPUTED_VALUE"""),"Yggdrasil Dress Coat")</f>
        <v>Yggdrasil Dress Coat</v>
      </c>
      <c r="E92" s="22"/>
      <c r="F92" s="22"/>
      <c r="G92" s="22"/>
    </row>
    <row r="93">
      <c r="A93" s="17" t="str">
        <f>IFERROR(__xludf.DUMMYFUNCTION("""COMPUTED_VALUE"""),"Glammer Gear for Goer-Getterers")</f>
        <v>Glammer Gear for Goer-Getterers</v>
      </c>
      <c r="B93" s="10" t="str">
        <f>IFERROR(__xludf.DUMMYFUNCTION("""COMPUTED_VALUE"""),"Mini Medal Stamp: 90")</f>
        <v>Mini Medal Stamp: 90</v>
      </c>
      <c r="C93" s="18" t="str">
        <f>IFERROR(__xludf.DUMMYFUNCTION("""COMPUTED_VALUE"""),"Tiara Tremendisima")</f>
        <v>Tiara Tremendisima</v>
      </c>
      <c r="D93" s="18" t="str">
        <f>IFERROR(__xludf.DUMMYFUNCTION("""COMPUTED_VALUE"""),"Gladder Rags")</f>
        <v>Gladder Rags</v>
      </c>
      <c r="E93" s="19"/>
      <c r="F93" s="19"/>
      <c r="G93" s="19"/>
    </row>
    <row r="94">
      <c r="A94" s="20" t="str">
        <f>IFERROR(__xludf.DUMMYFUNCTION("""COMPUTED_VALUE"""),"Dress to Impress")</f>
        <v>Dress to Impress</v>
      </c>
      <c r="B94" s="14" t="str">
        <f>IFERROR(__xludf.DUMMYFUNCTION("""COMPUTED_VALUE"""),"Octagonia: Golden Boy in Casino after Event")</f>
        <v>Octagonia: Golden Boy in Casino after Event</v>
      </c>
      <c r="C94" s="21" t="str">
        <f>IFERROR(__xludf.DUMMYFUNCTION("""COMPUTED_VALUE"""),"Dashing Doublet")</f>
        <v>Dashing Doublet</v>
      </c>
      <c r="D94" s="21" t="str">
        <f>IFERROR(__xludf.DUMMYFUNCTION("""COMPUTED_VALUE"""),"Suave Scarf")</f>
        <v>Suave Scarf</v>
      </c>
      <c r="E94" s="22"/>
      <c r="F94" s="22"/>
      <c r="G94" s="22"/>
    </row>
    <row r="95">
      <c r="A95" s="9" t="str">
        <f>IFERROR(__xludf.DUMMYFUNCTION("""COMPUTED_VALUE"""),"Uberswords Illustrated")</f>
        <v>Uberswords Illustrated</v>
      </c>
      <c r="B95" s="10" t="str">
        <f>IFERROR(__xludf.DUMMYFUNCTION("""COMPUTED_VALUE"""),"Octagonia Casino: 70,000 Tokens")</f>
        <v>Octagonia Casino: 70,000 Tokens</v>
      </c>
      <c r="C95" s="11" t="str">
        <f>IFERROR(__xludf.DUMMYFUNCTION("""COMPUTED_VALUE"""),"Uber Falcon Blade")</f>
        <v>Uber Falcon Blade</v>
      </c>
      <c r="D95" s="11" t="str">
        <f>IFERROR(__xludf.DUMMYFUNCTION("""COMPUTED_VALUE"""),"Uber Miracle Sword")</f>
        <v>Uber Miracle Sword</v>
      </c>
      <c r="E95" s="12"/>
      <c r="F95" s="12"/>
      <c r="G95" s="12"/>
    </row>
    <row r="96">
      <c r="A96" s="13" t="str">
        <f>IFERROR(__xludf.DUMMYFUNCTION("""COMPUTED_VALUE"""),"Upper-Class Accesories")</f>
        <v>Upper-Class Accesories</v>
      </c>
      <c r="B96" s="14" t="str">
        <f>IFERROR(__xludf.DUMMYFUNCTION("""COMPUTED_VALUE"""),"Chest: First Forest Whale Way Station")</f>
        <v>Chest: First Forest Whale Way Station</v>
      </c>
      <c r="C96" s="15" t="str">
        <f>IFERROR(__xludf.DUMMYFUNCTION("""COMPUTED_VALUE"""),"Monarch's Mittens")</f>
        <v>Monarch's Mittens</v>
      </c>
      <c r="D96" s="15" t="str">
        <f>IFERROR(__xludf.DUMMYFUNCTION("""COMPUTED_VALUE"""),"Elfin Charm")</f>
        <v>Elfin Charm</v>
      </c>
      <c r="E96" s="16"/>
      <c r="F96" s="16"/>
      <c r="G96" s="16"/>
    </row>
    <row r="97">
      <c r="A97" s="9" t="str">
        <f>IFERROR(__xludf.DUMMYFUNCTION("""COMPUTED_VALUE"""),"Kings of the Rings")</f>
        <v>Kings of the Rings</v>
      </c>
      <c r="B97" s="10" t="str">
        <f>IFERROR(__xludf.DUMMYFUNCTION("""COMPUTED_VALUE"""),"Chest: Disciple's Trial - Cruel Crypt")</f>
        <v>Chest: Disciple's Trial - Cruel Crypt</v>
      </c>
      <c r="C97" s="11" t="str">
        <f>IFERROR(__xludf.DUMMYFUNCTION("""COMPUTED_VALUE"""),"Catholicon Ring")</f>
        <v>Catholicon Ring</v>
      </c>
      <c r="D97" s="11" t="str">
        <f>IFERROR(__xludf.DUMMYFUNCTION("""COMPUTED_VALUE"""),"Goddess Ring")</f>
        <v>Goddess Ring</v>
      </c>
      <c r="E97" s="12"/>
      <c r="F97" s="12"/>
      <c r="G97" s="12"/>
    </row>
    <row r="98">
      <c r="A98" s="13" t="str">
        <f>IFERROR(__xludf.DUMMYFUNCTION("""COMPUTED_VALUE"""),"The Fandom of the Opera")</f>
        <v>The Fandom of the Opera</v>
      </c>
      <c r="B98" s="14" t="str">
        <f>IFERROR(__xludf.DUMMYFUNCTION("""COMPUTED_VALUE"""),"Chest: Sage's Trial - Fierce Forest")</f>
        <v>Chest: Sage's Trial - Fierce Forest</v>
      </c>
      <c r="C98" s="15" t="str">
        <f>IFERROR(__xludf.DUMMYFUNCTION("""COMPUTED_VALUE"""),"Phantom Mask")</f>
        <v>Phantom Mask</v>
      </c>
      <c r="D98" s="15" t="str">
        <f>IFERROR(__xludf.DUMMYFUNCTION("""COMPUTED_VALUE"""),"Dark Robe")</f>
        <v>Dark Robe</v>
      </c>
      <c r="E98" s="15" t="str">
        <f>IFERROR(__xludf.DUMMYFUNCTION("""COMPUTED_VALUE"""),"Murky Mittens")</f>
        <v>Murky Mittens</v>
      </c>
      <c r="F98" s="16"/>
      <c r="G98" s="16"/>
    </row>
    <row r="99">
      <c r="A99" s="9" t="str">
        <f>IFERROR(__xludf.DUMMYFUNCTION("""COMPUTED_VALUE"""),"Styles for All Seasons")</f>
        <v>Styles for All Seasons</v>
      </c>
      <c r="B99" s="10" t="str">
        <f>IFERROR(__xludf.DUMMYFUNCTION("""COMPUTED_VALUE"""),"Mini Medal Stamp: 80")</f>
        <v>Mini Medal Stamp: 80</v>
      </c>
      <c r="C99" s="11" t="str">
        <f>IFERROR(__xludf.DUMMYFUNCTION("""COMPUTED_VALUE"""),"Spring Breeze Hat")</f>
        <v>Spring Breeze Hat</v>
      </c>
      <c r="D99" s="11" t="str">
        <f>IFERROR(__xludf.DUMMYFUNCTION("""COMPUTED_VALUE"""),"Summer Cloud Hat")</f>
        <v>Summer Cloud Hat</v>
      </c>
      <c r="E99" s="11" t="str">
        <f>IFERROR(__xludf.DUMMYFUNCTION("""COMPUTED_VALUE"""),"Autumn Shower Hat")</f>
        <v>Autumn Shower Hat</v>
      </c>
      <c r="F99" s="11" t="str">
        <f>IFERROR(__xludf.DUMMYFUNCTION("""COMPUTED_VALUE"""),"Winter Sky Hat")</f>
        <v>Winter Sky Hat</v>
      </c>
      <c r="G99" s="12"/>
    </row>
    <row r="100">
      <c r="A100" s="20" t="str">
        <f>IFERROR(__xludf.DUMMYFUNCTION("""COMPUTED_VALUE"""),"Eternal Elegance")</f>
        <v>Eternal Elegance</v>
      </c>
      <c r="B100" s="14" t="str">
        <f>IFERROR(__xludf.DUMMYFUNCTION("""COMPUTED_VALUE"""),"Chest: Sage's Trial - Hoarder's Keep")</f>
        <v>Chest: Sage's Trial - Hoarder's Keep</v>
      </c>
      <c r="C100" s="21" t="str">
        <f>IFERROR(__xludf.DUMMYFUNCTION("""COMPUTED_VALUE"""),"Crown of Eternity")</f>
        <v>Crown of Eternity</v>
      </c>
      <c r="D100" s="21" t="str">
        <f>IFERROR(__xludf.DUMMYFUNCTION("""COMPUTED_VALUE"""),"Gown of Eternity")</f>
        <v>Gown of Eternity</v>
      </c>
      <c r="E100" s="22"/>
      <c r="F100" s="22"/>
      <c r="G100" s="22"/>
    </row>
    <row r="101">
      <c r="A101" s="9" t="str">
        <f>IFERROR(__xludf.DUMMYFUNCTION("""COMPUTED_VALUE"""),"The Stuff of Legend")</f>
        <v>The Stuff of Legend</v>
      </c>
      <c r="B101" s="10" t="str">
        <f>IFERROR(__xludf.DUMMYFUNCTION("""COMPUTED_VALUE"""),"Gallopolis Black Cup: Easy")</f>
        <v>Gallopolis Black Cup: Easy</v>
      </c>
      <c r="C101" s="11" t="str">
        <f>IFERROR(__xludf.DUMMYFUNCTION("""COMPUTED_VALUE"""),"Heavenly Helm")</f>
        <v>Heavenly Helm</v>
      </c>
      <c r="D101" s="11" t="str">
        <f>IFERROR(__xludf.DUMMYFUNCTION("""COMPUTED_VALUE"""),"Legendary Armour")</f>
        <v>Legendary Armour</v>
      </c>
      <c r="E101" s="12"/>
      <c r="F101" s="12"/>
      <c r="G101" s="12"/>
    </row>
    <row r="102">
      <c r="A102" s="13" t="str">
        <f>IFERROR(__xludf.DUMMYFUNCTION("""COMPUTED_VALUE"""),"Making Things with Metal Kings")</f>
        <v>Making Things with Metal Kings</v>
      </c>
      <c r="B102" s="14" t="str">
        <f>IFERROR(__xludf.DUMMYFUNCTION("""COMPUTED_VALUE"""),"Mini Medal Stamp: 110")</f>
        <v>Mini Medal Stamp: 110</v>
      </c>
      <c r="C102" s="15" t="str">
        <f>IFERROR(__xludf.DUMMYFUNCTION("""COMPUTED_VALUE"""),"Metal King Sword")</f>
        <v>Metal King Sword</v>
      </c>
      <c r="D102" s="15" t="str">
        <f>IFERROR(__xludf.DUMMYFUNCTION("""COMPUTED_VALUE"""),"Metal King Gooreatsword")</f>
        <v>Metal King Gooreatsword</v>
      </c>
      <c r="E102" s="15" t="str">
        <f>IFERROR(__xludf.DUMMYFUNCTION("""COMPUTED_VALUE"""),"Metal King Goomerang")</f>
        <v>Metal King Goomerang</v>
      </c>
      <c r="F102" s="15" t="str">
        <f>IFERROR(__xludf.DUMMYFUNCTION("""COMPUTED_VALUE"""),"Metal King Spear")</f>
        <v>Metal King Spear</v>
      </c>
      <c r="G102" s="15" t="str">
        <f>IFERROR(__xludf.DUMMYFUNCTION("""COMPUTED_VALUE"""),"Metal King Shield")</f>
        <v>Metal King Shield</v>
      </c>
    </row>
    <row r="103">
      <c r="A103" s="9" t="str">
        <f>IFERROR(__xludf.DUMMYFUNCTION("""COMPUTED_VALUE"""),"If I Could Turn Back Time")</f>
        <v>If I Could Turn Back Time</v>
      </c>
      <c r="B103" s="10" t="str">
        <f>IFERROR(__xludf.DUMMYFUNCTION("""COMPUTED_VALUE"""),"Chest: Luminary's Trial")</f>
        <v>Chest: Luminary's Trial</v>
      </c>
      <c r="C103" s="11" t="str">
        <f>IFERROR(__xludf.DUMMYFUNCTION("""COMPUTED_VALUE"""),"Sceptre of Time")</f>
        <v>Sceptre of Time</v>
      </c>
      <c r="D103" s="12"/>
      <c r="E103" s="12"/>
      <c r="F103" s="12"/>
      <c r="G103" s="12"/>
    </row>
    <row r="104">
      <c r="A104" s="13" t="str">
        <f>IFERROR(__xludf.DUMMYFUNCTION("""COMPUTED_VALUE"""),"Big Hitters of the Battlefield")</f>
        <v>Big Hitters of the Battlefield</v>
      </c>
      <c r="B104" s="14" t="str">
        <f>IFERROR(__xludf.DUMMYFUNCTION("""COMPUTED_VALUE"""),"Chest: Luminary's Trial")</f>
        <v>Chest: Luminary's Trial</v>
      </c>
      <c r="C104" s="15" t="str">
        <f>IFERROR(__xludf.DUMMYFUNCTION("""COMPUTED_VALUE"""),"Shamshir of Light
El Stupendo")</f>
        <v>Shamshir of Light
El Stupendo</v>
      </c>
      <c r="D104" s="15" t="str">
        <f>IFERROR(__xludf.DUMMYFUNCTION("""COMPUTED_VALUE"""),"Timeshear
Hunter's Moon")</f>
        <v>Timeshear
Hunter's Moon</v>
      </c>
      <c r="E104" s="15" t="str">
        <f>IFERROR(__xludf.DUMMYFUNCTION("""COMPUTED_VALUE"""),"Staff of Eternity
Heaven's Talon")</f>
        <v>Staff of Eternity
Heaven's Talon</v>
      </c>
      <c r="F104" s="15" t="str">
        <f>IFERROR(__xludf.DUMMYFUNCTION("""COMPUTED_VALUE"""),"Hellbeast's Leash
Decimators")</f>
        <v>Hellbeast's Leash
Decimators</v>
      </c>
      <c r="G104" s="15" t="str">
        <f>IFERROR(__xludf.DUMMYFUNCTION("""COMPUTED_VALUE"""),"Kairos Cleaver")</f>
        <v>Kairos Cleaver</v>
      </c>
    </row>
    <row r="105">
      <c r="A105" s="9" t="str">
        <f>IFERROR(__xludf.DUMMYFUNCTION("""COMPUTED_VALUE"""),"Ye Manifold Methods of Mighty Drustan")</f>
        <v>Ye Manifold Methods of Mighty Drustan</v>
      </c>
      <c r="B105" s="10" t="str">
        <f>IFERROR(__xludf.DUMMYFUNCTION("""COMPUTED_VALUE"""),"Chest: Luminary's Trial")</f>
        <v>Chest: Luminary's Trial</v>
      </c>
      <c r="C105" s="11" t="str">
        <f>IFERROR(__xludf.DUMMYFUNCTION("""COMPUTED_VALUE"""),"Sword of Judgment")</f>
        <v>Sword of Judgment</v>
      </c>
      <c r="D105" s="11" t="str">
        <f>IFERROR(__xludf.DUMMYFUNCTION("""COMPUTED_VALUE"""),"Sacred Spear")</f>
        <v>Sacred Spear</v>
      </c>
      <c r="E105" s="11" t="str">
        <f>IFERROR(__xludf.DUMMYFUNCTION("""COMPUTED_VALUE"""),"Soul Sucker")</f>
        <v>Soul Sucker</v>
      </c>
      <c r="F105" s="11" t="str">
        <f>IFERROR(__xludf.DUMMYFUNCTION("""COMPUTED_VALUE"""),"Exotoga")</f>
        <v>Exotoga</v>
      </c>
      <c r="G105" s="11" t="str">
        <f>IFERROR(__xludf.DUMMYFUNCTION("""COMPUTED_VALUE"""),"Seraph's Robe")</f>
        <v>Seraph's Robe</v>
      </c>
    </row>
    <row r="106">
      <c r="A106" s="13" t="str">
        <f>IFERROR(__xludf.DUMMYFUNCTION("""COMPUTED_VALUE"""),"Supreme Secrets of the Sword of Light")</f>
        <v>Supreme Secrets of the Sword of Light</v>
      </c>
      <c r="B106" s="14" t="str">
        <f>IFERROR(__xludf.DUMMYFUNCTION("""COMPUTED_VALUE"""),"Make a Wish after clearing a Trial at Trial Isle")</f>
        <v>Make a Wish after clearing a Trial at Trial Isle</v>
      </c>
      <c r="C106" s="15" t="str">
        <f>IFERROR(__xludf.DUMMYFUNCTION("""COMPUTED_VALUE"""),"Supreme Sword of Light")</f>
        <v>Supreme Sword of Light</v>
      </c>
      <c r="D106" s="16"/>
      <c r="E106" s="16"/>
      <c r="F106" s="16"/>
      <c r="G106" s="16"/>
    </row>
    <row r="107">
      <c r="A107" s="9" t="str">
        <f>IFERROR(__xludf.DUMMYFUNCTION("""COMPUTED_VALUE"""),"A Hero's Book of Basic Weapons")</f>
        <v>A Hero's Book of Basic Weapons</v>
      </c>
      <c r="B107" s="10" t="str">
        <f>IFERROR(__xludf.DUMMYFUNCTION("""COMPUTED_VALUE"""),"Chest: Tower of Lost Time")</f>
        <v>Chest: Tower of Lost Time</v>
      </c>
      <c r="C107" s="11" t="str">
        <f>IFERROR(__xludf.DUMMYFUNCTION("""COMPUTED_VALUE"""),"Nebula Sword
Darting Dagger")</f>
        <v>Nebula Sword
Darting Dagger</v>
      </c>
      <c r="D107" s="11" t="str">
        <f>IFERROR(__xludf.DUMMYFUNCTION("""COMPUTED_VALUE"""),"Asterang
Shining Staff")</f>
        <v>Asterang
Shining Staff</v>
      </c>
      <c r="E107" s="11" t="str">
        <f>IFERROR(__xludf.DUMMYFUNCTION("""COMPUTED_VALUE"""),"Straight Poker
Mega Gringham Whip")</f>
        <v>Straight Poker
Mega Gringham Whip</v>
      </c>
      <c r="F107" s="11" t="str">
        <f>IFERROR(__xludf.DUMMYFUNCTION("""COMPUTED_VALUE"""),"Dragonlord Claws
Maxi Axe")</f>
        <v>Dragonlord Claws
Maxi Axe</v>
      </c>
      <c r="G107" s="12"/>
    </row>
    <row r="108">
      <c r="A108" s="13" t="str">
        <f>IFERROR(__xludf.DUMMYFUNCTION("""COMPUTED_VALUE"""),"A Hero's Book of Better Weapons")</f>
        <v>A Hero's Book of Better Weapons</v>
      </c>
      <c r="B108" s="14" t="str">
        <f>IFERROR(__xludf.DUMMYFUNCTION("""COMPUTED_VALUE"""),"Chest: Disciple's Trial - Eerie Valley")</f>
        <v>Chest: Disciple's Trial - Eerie Valley</v>
      </c>
      <c r="C108" s="15" t="str">
        <f>IFERROR(__xludf.DUMMYFUNCTION("""COMPUTED_VALUE"""),"Supernova Sword
Dashing Dagger")</f>
        <v>Supernova Sword
Dashing Dagger</v>
      </c>
      <c r="D108" s="15" t="str">
        <f>IFERROR(__xludf.DUMMYFUNCTION("""COMPUTED_VALUE"""),"Stellarang
Brilliant Staff")</f>
        <v>Stellarang
Brilliant Staff</v>
      </c>
      <c r="E108" s="15" t="str">
        <f>IFERROR(__xludf.DUMMYFUNCTION("""COMPUTED_VALUE"""),"Stud Poker
Giga Gringham Whip")</f>
        <v>Stud Poker
Giga Gringham Whip</v>
      </c>
      <c r="F108" s="15" t="str">
        <f>IFERROR(__xludf.DUMMYFUNCTION("""COMPUTED_VALUE"""),"Dragovian Lord Claws
Climaxe")</f>
        <v>Dragovian Lord Claws
Climaxe</v>
      </c>
      <c r="G108" s="16"/>
    </row>
    <row r="109">
      <c r="A109" s="9" t="str">
        <f>IFERROR(__xludf.DUMMYFUNCTION("""COMPUTED_VALUE"""),"A Hero's Book of Brilliant Weapons")</f>
        <v>A Hero's Book of Brilliant Weapons</v>
      </c>
      <c r="B109" s="10" t="str">
        <f>IFERROR(__xludf.DUMMYFUNCTION("""COMPUTED_VALUE"""),"Make all five wishes at Trial Isle")</f>
        <v>Make all five wishes at Trial Isle</v>
      </c>
      <c r="C109" s="11" t="str">
        <f>IFERROR(__xludf.DUMMYFUNCTION("""COMPUTED_VALUE"""),"Hypernova Sword
Dynamo Dagger")</f>
        <v>Hypernova Sword
Dynamo Dagger</v>
      </c>
      <c r="D109" s="11" t="str">
        <f>IFERROR(__xludf.DUMMYFUNCTION("""COMPUTED_VALUE"""),"Galaxarang
Aurora Staff")</f>
        <v>Galaxarang
Aurora Staff</v>
      </c>
      <c r="E109" s="11" t="str">
        <f>IFERROR(__xludf.DUMMYFUNCTION("""COMPUTED_VALUE"""),"Split-Pot Poker
Uber Gringham Whip")</f>
        <v>Split-Pot Poker
Uber Gringham Whip</v>
      </c>
      <c r="F109" s="11" t="str">
        <f>IFERROR(__xludf.DUMMYFUNCTION("""COMPUTED_VALUE"""),"Xenlon Claws
Galaxy Axe")</f>
        <v>Xenlon Claws
Galaxy Axe</v>
      </c>
      <c r="G109" s="11"/>
    </row>
    <row r="110">
      <c r="A110" s="20" t="str">
        <f>IFERROR(__xludf.DUMMYFUNCTION("""COMPUTED_VALUE"""),"Trodain's Top Trends")</f>
        <v>Trodain's Top Trends</v>
      </c>
      <c r="B110" s="14" t="str">
        <f>IFERROR(__xludf.DUMMYFUNCTION("""COMPUTED_VALUE"""),"From the start")</f>
        <v>From the start</v>
      </c>
      <c r="C110" s="27" t="str">
        <f>IFERROR(__xludf.DUMMYFUNCTION("""COMPUTED_VALUE"""),"Artisanal Trodain Bandana")</f>
        <v>Artisanal Trodain Bandana</v>
      </c>
      <c r="D110" s="21" t="str">
        <f>IFERROR(__xludf.DUMMYFUNCTION("""COMPUTED_VALUE"""),"Artisanal Trodain Togs")</f>
        <v>Artisanal Trodain Togs</v>
      </c>
      <c r="E110" s="22"/>
      <c r="F110" s="22"/>
      <c r="G110" s="22"/>
    </row>
  </sheetData>
  <mergeCells count="4">
    <mergeCell ref="C1:G1"/>
    <mergeCell ref="A2:G2"/>
    <mergeCell ref="A51:F51"/>
    <mergeCell ref="A79:G7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69.88"/>
    <col customWidth="1" min="4" max="4" width="31.38"/>
  </cols>
  <sheetData>
    <row r="1">
      <c r="A1" s="117" t="str">
        <f>IFERROR(__xludf.DUMMYFUNCTION("IMPORTRANGE(""1pGQGO9M_OLNstXbY45t1_zMDCLpiw8pwB7y8fM3IKkA"",""Mini Medals!A1:D100"")"),"You can farm an unlimited amount of medals in the postgame")</f>
        <v>You can farm an unlimited amount of medals in the postgame</v>
      </c>
      <c r="B1" s="4"/>
      <c r="C1" s="4"/>
      <c r="D1" s="5"/>
    </row>
    <row r="2">
      <c r="A2" s="118"/>
      <c r="B2" s="119"/>
      <c r="C2" s="120" t="str">
        <f>IFERROR(__xludf.DUMMYFUNCTION("""COMPUTED_VALUE"""),"Stamp Rewards")</f>
        <v>Stamp Rewards</v>
      </c>
      <c r="D2" s="8"/>
    </row>
    <row r="3">
      <c r="A3" s="121">
        <f>IFERROR(__xludf.DUMMYFUNCTION("""COMPUTED_VALUE"""),1.0)</f>
        <v>1</v>
      </c>
      <c r="B3" s="122" t="str">
        <f>IFERROR(__xludf.DUMMYFUNCTION("""COMPUTED_VALUE"""),"Heliodor City: Head through item shop to roof, chest on the roof of house to east")</f>
        <v>Heliodor City: Head through item shop to roof, chest on the roof of house to east</v>
      </c>
      <c r="C3" s="123">
        <f>IFERROR(__xludf.DUMMYFUNCTION("""COMPUTED_VALUE"""),5.0)</f>
        <v>5</v>
      </c>
      <c r="D3" s="124" t="str">
        <f>IFERROR(__xludf.DUMMYFUNCTION("""COMPUTED_VALUE"""),"Shield-Bearer")</f>
        <v>Shield-Bearer</v>
      </c>
    </row>
    <row r="4">
      <c r="A4" s="125">
        <f>IFERROR(__xludf.DUMMYFUNCTION("""COMPUTED_VALUE"""),2.0)</f>
        <v>2</v>
      </c>
      <c r="B4" s="126" t="str">
        <f>IFERROR(__xludf.DUMMYFUNCTION("""COMPUTED_VALUE"""),"Heliodor Castle: Head to the balcony on the top floor, barrel")</f>
        <v>Heliodor Castle: Head to the balcony on the top floor, barrel</v>
      </c>
      <c r="C4" s="127">
        <f>IFERROR(__xludf.DUMMYFUNCTION("""COMPUTED_VALUE"""),10.0)</f>
        <v>10</v>
      </c>
      <c r="D4" s="128" t="str">
        <f>IFERROR(__xludf.DUMMYFUNCTION("""COMPUTED_VALUE"""),"Hermes' Hat")</f>
        <v>Hermes' Hat</v>
      </c>
    </row>
    <row r="5">
      <c r="A5" s="121">
        <f>IFERROR(__xludf.DUMMYFUNCTION("""COMPUTED_VALUE"""),3.0)</f>
        <v>3</v>
      </c>
      <c r="B5" s="122" t="str">
        <f>IFERROR(__xludf.DUMMYFUNCTION("""COMPUTED_VALUE"""),"Heliodor City: Derk's Shop second floor, after Erik joins")</f>
        <v>Heliodor City: Derk's Shop second floor, after Erik joins</v>
      </c>
      <c r="C5" s="123">
        <f>IFERROR(__xludf.DUMMYFUNCTION("""COMPUTED_VALUE"""),20.0)</f>
        <v>20</v>
      </c>
      <c r="D5" s="124" t="str">
        <f>IFERROR(__xludf.DUMMYFUNCTION("""COMPUTED_VALUE"""),"Rune Staff")</f>
        <v>Rune Staff</v>
      </c>
    </row>
    <row r="6">
      <c r="A6" s="125">
        <f>IFERROR(__xludf.DUMMYFUNCTION("""COMPUTED_VALUE"""),4.0)</f>
        <v>4</v>
      </c>
      <c r="B6" s="126" t="str">
        <f>IFERROR(__xludf.DUMMYFUNCTION("""COMPUTED_VALUE"""),"Manglegrove: chest in northeast dead end")</f>
        <v>Manglegrove: chest in northeast dead end</v>
      </c>
      <c r="C6" s="127">
        <f>IFERROR(__xludf.DUMMYFUNCTION("""COMPUTED_VALUE"""),25.0)</f>
        <v>25</v>
      </c>
      <c r="D6" s="128" t="str">
        <f>IFERROR(__xludf.DUMMYFUNCTION("""COMPUTED_VALUE"""),"Uniforme de l'Academie")</f>
        <v>Uniforme de l'Academie</v>
      </c>
    </row>
    <row r="7">
      <c r="A7" s="121">
        <f>IFERROR(__xludf.DUMMYFUNCTION("""COMPUTED_VALUE"""),5.0)</f>
        <v>5</v>
      </c>
      <c r="B7" s="122" t="str">
        <f>IFERROR(__xludf.DUMMYFUNCTION("""COMPUTED_VALUE"""),"Hotto Steppe: chest in the southwest")</f>
        <v>Hotto Steppe: chest in the southwest</v>
      </c>
      <c r="C7" s="123">
        <f>IFERROR(__xludf.DUMMYFUNCTION("""COMPUTED_VALUE"""),30.0)</f>
        <v>30</v>
      </c>
      <c r="D7" s="124" t="str">
        <f>IFERROR(__xludf.DUMMYFUNCTION("""COMPUTED_VALUE"""),"Recipe: Kit Fit for a King")</f>
        <v>Recipe: Kit Fit for a King</v>
      </c>
    </row>
    <row r="8">
      <c r="A8" s="125">
        <f>IFERROR(__xludf.DUMMYFUNCTION("""COMPUTED_VALUE"""),6.0)</f>
        <v>6</v>
      </c>
      <c r="B8" s="126" t="str">
        <f>IFERROR(__xludf.DUMMYFUNCTION("""COMPUTED_VALUE"""),"Hotto: chest outside a house in the southwest")</f>
        <v>Hotto: chest outside a house in the southwest</v>
      </c>
      <c r="C8" s="127">
        <f>IFERROR(__xludf.DUMMYFUNCTION("""COMPUTED_VALUE"""),35.0)</f>
        <v>35</v>
      </c>
      <c r="D8" s="128" t="str">
        <f>IFERROR(__xludf.DUMMYFUNCTION("""COMPUTED_VALUE"""),"Falcon Blade")</f>
        <v>Falcon Blade</v>
      </c>
    </row>
    <row r="9">
      <c r="A9" s="121">
        <f>IFERROR(__xludf.DUMMYFUNCTION("""COMPUTED_VALUE"""),7.0)</f>
        <v>7</v>
      </c>
      <c r="B9" s="122" t="str">
        <f>IFERROR(__xludf.DUMMYFUNCTION("""COMPUTED_VALUE"""),"Cryptic Crypts: chest in the northeast small room")</f>
        <v>Cryptic Crypts: chest in the northeast small room</v>
      </c>
      <c r="C9" s="123">
        <f>IFERROR(__xludf.DUMMYFUNCTION("""COMPUTED_VALUE"""),45.0)</f>
        <v>45</v>
      </c>
      <c r="D9" s="124" t="str">
        <f>IFERROR(__xludf.DUMMYFUNCTION("""COMPUTED_VALUE"""),"Agility Gilet")</f>
        <v>Agility Gilet</v>
      </c>
    </row>
    <row r="10">
      <c r="A10" s="125">
        <f>IFERROR(__xludf.DUMMYFUNCTION("""COMPUTED_VALUE"""),8.0)</f>
        <v>8</v>
      </c>
      <c r="B10" s="126" t="str">
        <f>IFERROR(__xludf.DUMMYFUNCTION("""COMPUTED_VALUE"""),"Gallopolis Region: chest in the southern area")</f>
        <v>Gallopolis Region: chest in the southern area</v>
      </c>
      <c r="C10" s="127">
        <f>IFERROR(__xludf.DUMMYFUNCTION("""COMPUTED_VALUE"""),50.0)</f>
        <v>50</v>
      </c>
      <c r="D10" s="128" t="str">
        <f>IFERROR(__xludf.DUMMYFUNCTION("""COMPUTED_VALUE"""),"Glombolero")</f>
        <v>Glombolero</v>
      </c>
    </row>
    <row r="11">
      <c r="A11" s="121">
        <f>IFERROR(__xludf.DUMMYFUNCTION("""COMPUTED_VALUE"""),9.0)</f>
        <v>9</v>
      </c>
      <c r="B11" s="122" t="str">
        <f>IFERROR(__xludf.DUMMYFUNCTION("""COMPUTED_VALUE"""),"Gallopolis City: chest in the southwest corner")</f>
        <v>Gallopolis City: chest in the southwest corner</v>
      </c>
      <c r="C11" s="123">
        <f>IFERROR(__xludf.DUMMYFUNCTION("""COMPUTED_VALUE"""),55.0)</f>
        <v>55</v>
      </c>
      <c r="D11" s="124" t="str">
        <f>IFERROR(__xludf.DUMMYFUNCTION("""COMPUTED_VALUE"""),"Spiked Armour")</f>
        <v>Spiked Armour</v>
      </c>
    </row>
    <row r="12">
      <c r="A12" s="125">
        <f>IFERROR(__xludf.DUMMYFUNCTION("""COMPUTED_VALUE"""),10.0)</f>
        <v>10</v>
      </c>
      <c r="B12" s="126" t="str">
        <f>IFERROR(__xludf.DUMMYFUNCTION("""COMPUTED_VALUE"""),"Laguna di Gondolia:chest in center section of the map, the platform area")</f>
        <v>Laguna di Gondolia:chest in center section of the map, the platform area</v>
      </c>
      <c r="C12" s="127">
        <f>IFERROR(__xludf.DUMMYFUNCTION("""COMPUTED_VALUE"""),60.0)</f>
        <v>60</v>
      </c>
      <c r="D12" s="128" t="str">
        <f>IFERROR(__xludf.DUMMYFUNCTION("""COMPUTED_VALUE"""),"Miracle Sword")</f>
        <v>Miracle Sword</v>
      </c>
    </row>
    <row r="13">
      <c r="A13" s="121">
        <f>IFERROR(__xludf.DUMMYFUNCTION("""COMPUTED_VALUE"""),11.0)</f>
        <v>11</v>
      </c>
      <c r="B13" s="122" t="str">
        <f>IFERROR(__xludf.DUMMYFUNCTION("""COMPUTED_VALUE"""),"Gondolia: Cabinet in the northeast house")</f>
        <v>Gondolia: Cabinet in the northeast house</v>
      </c>
      <c r="C13" s="123">
        <f>IFERROR(__xludf.DUMMYFUNCTION("""COMPUTED_VALUE"""),65.0)</f>
        <v>65</v>
      </c>
      <c r="D13" s="124" t="str">
        <f>IFERROR(__xludf.DUMMYFUNCTION("""COMPUTED_VALUE"""),"Deft Dagger")</f>
        <v>Deft Dagger</v>
      </c>
    </row>
    <row r="14">
      <c r="A14" s="125">
        <f>IFERROR(__xludf.DUMMYFUNCTION("""COMPUTED_VALUE"""),12.0)</f>
        <v>12</v>
      </c>
      <c r="B14" s="126" t="str">
        <f>IFERROR(__xludf.DUMMYFUNCTION("""COMPUTED_VALUE"""),"Grotta della Fonte: chest south of the campsite")</f>
        <v>Grotta della Fonte: chest south of the campsite</v>
      </c>
      <c r="C14" s="127">
        <f>IFERROR(__xludf.DUMMYFUNCTION("""COMPUTED_VALUE"""),75.0)</f>
        <v>75</v>
      </c>
      <c r="D14" s="128" t="str">
        <f>IFERROR(__xludf.DUMMYFUNCTION("""COMPUTED_VALUE"""),"Circle of Serendipity")</f>
        <v>Circle of Serendipity</v>
      </c>
    </row>
    <row r="15">
      <c r="A15" s="121">
        <f>IFERROR(__xludf.DUMMYFUNCTION("""COMPUTED_VALUE"""),13.0)</f>
        <v>13</v>
      </c>
      <c r="B15" s="122" t="str">
        <f>IFERROR(__xludf.DUMMYFUNCTION("""COMPUTED_VALUE"""),"Zwaardsrust Region: center of field west of the inn")</f>
        <v>Zwaardsrust Region: center of field west of the inn</v>
      </c>
      <c r="C15" s="123">
        <f>IFERROR(__xludf.DUMMYFUNCTION("""COMPUTED_VALUE"""),80.0)</f>
        <v>80</v>
      </c>
      <c r="D15" s="124" t="str">
        <f>IFERROR(__xludf.DUMMYFUNCTION("""COMPUTED_VALUE"""),"Recipe: Styles for All Seasons")</f>
        <v>Recipe: Styles for All Seasons</v>
      </c>
    </row>
    <row r="16">
      <c r="A16" s="125">
        <f>IFERROR(__xludf.DUMMYFUNCTION("""COMPUTED_VALUE"""),14.0)</f>
        <v>14</v>
      </c>
      <c r="B16" s="126" t="str">
        <f>IFERROR(__xludf.DUMMYFUNCTION("""COMPUTED_VALUE"""),"Warrior's Rest Inn: chest on second floor balcony")</f>
        <v>Warrior's Rest Inn: chest on second floor balcony</v>
      </c>
      <c r="C16" s="127">
        <f>IFERROR(__xludf.DUMMYFUNCTION("""COMPUTED_VALUE"""),90.0)</f>
        <v>90</v>
      </c>
      <c r="D16" s="128" t="str">
        <f>IFERROR(__xludf.DUMMYFUNCTION("""COMPUTED_VALUE"""),"Recipe: Glammer Gear for Goer-Getterers")</f>
        <v>Recipe: Glammer Gear for Goer-Getterers</v>
      </c>
    </row>
    <row r="17">
      <c r="A17" s="121">
        <f>IFERROR(__xludf.DUMMYFUNCTION("""COMPUTED_VALUE"""),15.0)</f>
        <v>15</v>
      </c>
      <c r="B17" s="122" t="str">
        <f>IFERROR(__xludf.DUMMYFUNCTION("""COMPUTED_VALUE"""),"Ruins of Dundrasil: narrow passage immediately to your right, up the ladder and break a pot")</f>
        <v>Ruins of Dundrasil: narrow passage immediately to your right, up the ladder and break a pot</v>
      </c>
      <c r="C17" s="123">
        <f>IFERROR(__xludf.DUMMYFUNCTION("""COMPUTED_VALUE"""),100.0)</f>
        <v>100</v>
      </c>
      <c r="D17" s="124" t="str">
        <f>IFERROR(__xludf.DUMMYFUNCTION("""COMPUTED_VALUE"""),"Erdwin's Shield")</f>
        <v>Erdwin's Shield</v>
      </c>
    </row>
    <row r="18">
      <c r="A18" s="125">
        <f>IFERROR(__xludf.DUMMYFUNCTION("""COMPUTED_VALUE"""),16.0)</f>
        <v>16</v>
      </c>
      <c r="B18" s="126" t="str">
        <f>IFERROR(__xludf.DUMMYFUNCTION("""COMPUTED_VALUE"""),"Dundrasil Region: chest near the building in the southwest")</f>
        <v>Dundrasil Region: chest near the building in the southwest</v>
      </c>
      <c r="C18" s="127">
        <f>IFERROR(__xludf.DUMMYFUNCTION("""COMPUTED_VALUE"""),110.0)</f>
        <v>110</v>
      </c>
      <c r="D18" s="128" t="str">
        <f>IFERROR(__xludf.DUMMYFUNCTION("""COMPUTED_VALUE"""),"Recipe: Making Things with Metal Kings")</f>
        <v>Recipe: Making Things with Metal Kings</v>
      </c>
    </row>
    <row r="19">
      <c r="A19" s="121">
        <f>IFERROR(__xludf.DUMMYFUNCTION("""COMPUTED_VALUE"""),17.0)</f>
        <v>17</v>
      </c>
      <c r="B19" s="122" t="str">
        <f>IFERROR(__xludf.DUMMYFUNCTION("""COMPUTED_VALUE"""),"Octagonia: pot in alcove beneath the stairs to the lower level")</f>
        <v>Octagonia: pot in alcove beneath the stairs to the lower level</v>
      </c>
      <c r="C19" s="129"/>
      <c r="D19" s="130"/>
    </row>
    <row r="20">
      <c r="A20" s="125">
        <f>IFERROR(__xludf.DUMMYFUNCTION("""COMPUTED_VALUE"""),18.0)</f>
        <v>18</v>
      </c>
      <c r="B20" s="126" t="str">
        <f>IFERROR(__xludf.DUMMYFUNCTION("""COMPUTED_VALUE"""),"Caverns Under Octagonia: chest in eastern dead end")</f>
        <v>Caverns Under Octagonia: chest in eastern dead end</v>
      </c>
      <c r="C20" s="120" t="str">
        <f>IFERROR(__xludf.DUMMYFUNCTION("""COMPUTED_VALUE"""),"Exchange Shop, unlocks after turning in 110")</f>
        <v>Exchange Shop, unlocks after turning in 110</v>
      </c>
      <c r="D20" s="8"/>
    </row>
    <row r="21">
      <c r="A21" s="121">
        <f>IFERROR(__xludf.DUMMYFUNCTION("""COMPUTED_VALUE"""),19.0)</f>
        <v>19</v>
      </c>
      <c r="B21" s="122" t="str">
        <f>IFERROR(__xludf.DUMMYFUNCTION("""COMPUTED_VALUE"""),"Puerto Valor: second floor of hotel casino")</f>
        <v>Puerto Valor: second floor of hotel casino</v>
      </c>
      <c r="C21" s="131">
        <f>IFERROR(__xludf.DUMMYFUNCTION("""COMPUTED_VALUE"""),1.0)</f>
        <v>1</v>
      </c>
      <c r="D21" s="115" t="str">
        <f>IFERROR(__xludf.DUMMYFUNCTION("""COMPUTED_VALUE"""),"Saint's Ashes")</f>
        <v>Saint's Ashes</v>
      </c>
    </row>
    <row r="22">
      <c r="A22" s="125">
        <f>IFERROR(__xludf.DUMMYFUNCTION("""COMPUTED_VALUE"""),20.0)</f>
        <v>20</v>
      </c>
      <c r="B22" s="126" t="str">
        <f>IFERROR(__xludf.DUMMYFUNCTION("""COMPUTED_VALUE"""),"The Strand: chest near shipwreck")</f>
        <v>The Strand: chest near shipwreck</v>
      </c>
      <c r="C22" s="132">
        <f>IFERROR(__xludf.DUMMYFUNCTION("""COMPUTED_VALUE"""),2.0)</f>
        <v>2</v>
      </c>
      <c r="D22" s="114" t="str">
        <f>IFERROR(__xludf.DUMMYFUNCTION("""COMPUTED_VALUE"""),"Chronocrystal")</f>
        <v>Chronocrystal</v>
      </c>
    </row>
    <row r="23">
      <c r="A23" s="121">
        <f>IFERROR(__xludf.DUMMYFUNCTION("""COMPUTED_VALUE"""),21.0)</f>
        <v>21</v>
      </c>
      <c r="B23" s="122" t="str">
        <f>IFERROR(__xludf.DUMMYFUNCTION("""COMPUTED_VALUE"""),"Lonalulu: barrel at dead end south of the bar area")</f>
        <v>Lonalulu: barrel at dead end south of the bar area</v>
      </c>
      <c r="C23" s="131">
        <f>IFERROR(__xludf.DUMMYFUNCTION("""COMPUTED_VALUE"""),3.0)</f>
        <v>3</v>
      </c>
      <c r="D23" s="115" t="str">
        <f>IFERROR(__xludf.DUMMYFUNCTION("""COMPUTED_VALUE"""),"Serpent's Soul")</f>
        <v>Serpent's Soul</v>
      </c>
    </row>
    <row r="24">
      <c r="A24" s="125">
        <f>IFERROR(__xludf.DUMMYFUNCTION("""COMPUTED_VALUE"""),22.0)</f>
        <v>22</v>
      </c>
      <c r="B24" s="126" t="str">
        <f>IFERROR(__xludf.DUMMYFUNCTION("""COMPUTED_VALUE"""),"Lonalulu - Saikiki Beach: chest outside the cabin")</f>
        <v>Lonalulu - Saikiki Beach: chest outside the cabin</v>
      </c>
      <c r="C24" s="132">
        <f>IFERROR(__xludf.DUMMYFUNCTION("""COMPUTED_VALUE"""),3.0)</f>
        <v>3</v>
      </c>
      <c r="D24" s="114" t="str">
        <f>IFERROR(__xludf.DUMMYFUNCTION("""COMPUTED_VALUE"""),"Spectralite")</f>
        <v>Spectralite</v>
      </c>
    </row>
    <row r="25">
      <c r="A25" s="121">
        <f>IFERROR(__xludf.DUMMYFUNCTION("""COMPUTED_VALUE"""),23.0)</f>
        <v>23</v>
      </c>
      <c r="B25" s="122" t="str">
        <f>IFERROR(__xludf.DUMMYFUNCTION("""COMPUTED_VALUE"""),"Nautica: chest behind palace")</f>
        <v>Nautica: chest behind palace</v>
      </c>
      <c r="C25" s="131">
        <f>IFERROR(__xludf.DUMMYFUNCTION("""COMPUTED_VALUE"""),3.0)</f>
        <v>3</v>
      </c>
      <c r="D25" s="115" t="str">
        <f>IFERROR(__xludf.DUMMYFUNCTION("""COMPUTED_VALUE"""),"Elfin Elixir")</f>
        <v>Elfin Elixir</v>
      </c>
    </row>
    <row r="26">
      <c r="A26" s="125">
        <f>IFERROR(__xludf.DUMMYFUNCTION("""COMPUTED_VALUE"""),24.0)</f>
        <v>24</v>
      </c>
      <c r="B26" s="126" t="str">
        <f>IFERROR(__xludf.DUMMYFUNCTION("""COMPUTED_VALUE"""),"Insula Occidentalis: jars near the southeastern cabin")</f>
        <v>Insula Occidentalis: jars near the southeastern cabin</v>
      </c>
      <c r="C26" s="132">
        <f>IFERROR(__xludf.DUMMYFUNCTION("""COMPUTED_VALUE"""),5.0)</f>
        <v>5</v>
      </c>
      <c r="D26" s="114" t="str">
        <f>IFERROR(__xludf.DUMMYFUNCTION("""COMPUTED_VALUE"""),"Uber Agate of Evolution")</f>
        <v>Uber Agate of Evolution</v>
      </c>
    </row>
    <row r="27">
      <c r="A27" s="121">
        <f>IFERROR(__xludf.DUMMYFUNCTION("""COMPUTED_VALUE"""),25.0)</f>
        <v>25</v>
      </c>
      <c r="B27" s="122" t="str">
        <f>IFERROR(__xludf.DUMMYFUNCTION("""COMPUTED_VALUE"""),"Insula Orientalis: jar in the north, in the ruined stone walls")</f>
        <v>Insula Orientalis: jar in the north, in the ruined stone walls</v>
      </c>
      <c r="C27" s="131">
        <f>IFERROR(__xludf.DUMMYFUNCTION("""COMPUTED_VALUE"""),10.0)</f>
        <v>10</v>
      </c>
      <c r="D27" s="115" t="str">
        <f>IFERROR(__xludf.DUMMYFUNCTION("""COMPUTED_VALUE"""),"Pep Pip")</f>
        <v>Pep Pip</v>
      </c>
    </row>
    <row r="28">
      <c r="A28" s="125">
        <f>IFERROR(__xludf.DUMMYFUNCTION("""COMPUTED_VALUE"""),26.0)</f>
        <v>26</v>
      </c>
      <c r="B28" s="126" t="str">
        <f>IFERROR(__xludf.DUMMYFUNCTION("""COMPUTED_VALUE"""),"L'Academie: jar in the headmaster's room")</f>
        <v>L'Academie: jar in the headmaster's room</v>
      </c>
      <c r="C28" s="130"/>
      <c r="D28" s="130"/>
    </row>
    <row r="29">
      <c r="A29" s="121">
        <f>IFERROR(__xludf.DUMMYFUNCTION("""COMPUTED_VALUE"""),27.0)</f>
        <v>27</v>
      </c>
      <c r="B29" s="122" t="str">
        <f>IFERROR(__xludf.DUMMYFUNCTION("""COMPUTED_VALUE"""),"L'Academie: down the well, barrel in the slime's cabin")</f>
        <v>L'Academie: down the well, barrel in the slime's cabin</v>
      </c>
      <c r="C29" s="130"/>
      <c r="D29" s="130"/>
    </row>
    <row r="30">
      <c r="A30" s="125">
        <f>IFERROR(__xludf.DUMMYFUNCTION("""COMPUTED_VALUE"""),28.0)</f>
        <v>28</v>
      </c>
      <c r="B30" s="126" t="str">
        <f>IFERROR(__xludf.DUMMYFUNCTION("""COMPUTED_VALUE"""),"L'Academie: cabinet in the southwest dorm room")</f>
        <v>L'Academie: cabinet in the southwest dorm room</v>
      </c>
      <c r="C30" s="129"/>
      <c r="D30" s="130"/>
    </row>
    <row r="31">
      <c r="A31" s="121">
        <f>IFERROR(__xludf.DUMMYFUNCTION("""COMPUTED_VALUE"""),29.0)</f>
        <v>29</v>
      </c>
      <c r="B31" s="122" t="str">
        <f>IFERROR(__xludf.DUMMYFUNCTION("""COMPUTED_VALUE"""),"Eerie Eyrie: chest on ledge near river in center of map, needs eggsoskeleton")</f>
        <v>Eerie Eyrie: chest on ledge near river in center of map, needs eggsoskeleton</v>
      </c>
      <c r="C31" s="129"/>
      <c r="D31" s="130"/>
    </row>
    <row r="32">
      <c r="A32" s="125">
        <f>IFERROR(__xludf.DUMMYFUNCTION("""COMPUTED_VALUE"""),30.0)</f>
        <v>30</v>
      </c>
      <c r="B32" s="126" t="str">
        <f>IFERROR(__xludf.DUMMYFUNCTION("""COMPUTED_VALUE"""),"Champs Sauvage: chest west of the camp")</f>
        <v>Champs Sauvage: chest west of the camp</v>
      </c>
      <c r="C32" s="129"/>
      <c r="D32" s="130"/>
    </row>
    <row r="33">
      <c r="A33" s="121">
        <f>IFERROR(__xludf.DUMMYFUNCTION("""COMPUTED_VALUE"""),31.0)</f>
        <v>31</v>
      </c>
      <c r="B33" s="122" t="str">
        <f>IFERROR(__xludf.DUMMYFUNCTION("""COMPUTED_VALUE"""),"Phnom Nonh: jar on balcony of northeast house")</f>
        <v>Phnom Nonh: jar on balcony of northeast house</v>
      </c>
      <c r="C33" s="129"/>
      <c r="D33" s="130"/>
    </row>
    <row r="34">
      <c r="A34" s="125">
        <f>IFERROR(__xludf.DUMMYFUNCTION("""COMPUTED_VALUE"""),32.0)</f>
        <v>32</v>
      </c>
      <c r="B34" s="126" t="str">
        <f>IFERROR(__xludf.DUMMYFUNCTION("""COMPUTED_VALUE"""),"Other Side: chest on northern dead end of lower level")</f>
        <v>Other Side: chest on northern dead end of lower level</v>
      </c>
      <c r="C34" s="129"/>
      <c r="D34" s="130"/>
    </row>
    <row r="35">
      <c r="A35" s="121">
        <f>IFERROR(__xludf.DUMMYFUNCTION("""COMPUTED_VALUE"""),33.0)</f>
        <v>33</v>
      </c>
      <c r="B35" s="122" t="str">
        <f>IFERROR(__xludf.DUMMYFUNCTION("""COMPUTED_VALUE"""),"Magic Key, Gallopolis")</f>
        <v>Magic Key, Gallopolis</v>
      </c>
      <c r="C35" s="129"/>
      <c r="D35" s="130"/>
    </row>
    <row r="36">
      <c r="A36" s="125">
        <f>IFERROR(__xludf.DUMMYFUNCTION("""COMPUTED_VALUE"""),34.0)</f>
        <v>34</v>
      </c>
      <c r="B36" s="126" t="str">
        <f>IFERROR(__xludf.DUMMYFUNCTION("""COMPUTED_VALUE"""),"Magic Key, Gondolia")</f>
        <v>Magic Key, Gondolia</v>
      </c>
      <c r="C36" s="129"/>
      <c r="D36" s="130"/>
    </row>
    <row r="37">
      <c r="A37" s="121" t="str">
        <f>IFERROR(__xludf.DUMMYFUNCTION("""COMPUTED_VALUE"""),"35-37")</f>
        <v>35-37</v>
      </c>
      <c r="B37" s="122" t="str">
        <f>IFERROR(__xludf.DUMMYFUNCTION("""COMPUTED_VALUE"""),"Magic Key, Dundrasil Region")</f>
        <v>Magic Key, Dundrasil Region</v>
      </c>
      <c r="C37" s="129"/>
      <c r="D37" s="130"/>
    </row>
    <row r="38">
      <c r="A38" s="125">
        <f>IFERROR(__xludf.DUMMYFUNCTION("""COMPUTED_VALUE"""),38.0)</f>
        <v>38</v>
      </c>
      <c r="B38" s="126" t="str">
        <f>IFERROR(__xludf.DUMMYFUNCTION("""COMPUTED_VALUE"""),"Magic Key, Lonalulu")</f>
        <v>Magic Key, Lonalulu</v>
      </c>
      <c r="C38" s="129"/>
      <c r="D38" s="130"/>
    </row>
    <row r="39">
      <c r="A39" s="121">
        <f>IFERROR(__xludf.DUMMYFUNCTION("""COMPUTED_VALUE"""),39.0)</f>
        <v>39</v>
      </c>
      <c r="B39" s="122" t="str">
        <f>IFERROR(__xludf.DUMMYFUNCTION("""COMPUTED_VALUE"""),"Magic Key, L'Academie")</f>
        <v>Magic Key, L'Academie</v>
      </c>
      <c r="C39" s="129"/>
      <c r="D39" s="130"/>
    </row>
    <row r="40">
      <c r="A40" s="125">
        <f>IFERROR(__xludf.DUMMYFUNCTION("""COMPUTED_VALUE"""),40.0)</f>
        <v>40</v>
      </c>
      <c r="B40" s="126" t="str">
        <f>IFERROR(__xludf.DUMMYFUNCTION("""COMPUTED_VALUE"""),"Insula Centralis")</f>
        <v>Insula Centralis</v>
      </c>
      <c r="C40" s="129"/>
      <c r="D40" s="130"/>
    </row>
    <row r="41">
      <c r="A41" s="121">
        <f>IFERROR(__xludf.DUMMYFUNCTION("""COMPUTED_VALUE"""),41.0)</f>
        <v>41</v>
      </c>
      <c r="B41" s="122" t="str">
        <f>IFERROR(__xludf.DUMMYFUNCTION("""COMPUTED_VALUE"""),"Sniflheim Region: chest in cabin at deadend north of the city entrance")</f>
        <v>Sniflheim Region: chest in cabin at deadend north of the city entrance</v>
      </c>
      <c r="C41" s="129"/>
      <c r="D41" s="130"/>
    </row>
    <row r="42">
      <c r="A42" s="125">
        <f>IFERROR(__xludf.DUMMYFUNCTION("""COMPUTED_VALUE"""),42.0)</f>
        <v>42</v>
      </c>
      <c r="B42" s="126" t="str">
        <f>IFERROR(__xludf.DUMMYFUNCTION("""COMPUTED_VALUE"""),"Viking Hideout: barrel")</f>
        <v>Viking Hideout: barrel</v>
      </c>
      <c r="C42" s="129"/>
      <c r="D42" s="130"/>
    </row>
    <row r="43">
      <c r="A43" s="121">
        <f>IFERROR(__xludf.DUMMYFUNCTION("""COMPUTED_VALUE"""),43.0)</f>
        <v>43</v>
      </c>
      <c r="B43" s="122" t="str">
        <f>IFERROR(__xludf.DUMMYFUNCTION("""COMPUTED_VALUE"""),"Snaerfelt: get special mount to go up the ramp in the center, chest on the upper level west side")</f>
        <v>Snaerfelt: get special mount to go up the ramp in the center, chest on the upper level west side</v>
      </c>
      <c r="C43" s="129"/>
      <c r="D43" s="130"/>
    </row>
    <row r="44">
      <c r="A44" s="125">
        <f>IFERROR(__xludf.DUMMYFUNCTION("""COMPUTED_VALUE"""),44.0)</f>
        <v>44</v>
      </c>
      <c r="B44" s="126" t="str">
        <f>IFERROR(__xludf.DUMMYFUNCTION("""COMPUTED_VALUE"""),"Sniflheim: chest behind the stalls to the north of the inn")</f>
        <v>Sniflheim: chest behind the stalls to the north of the inn</v>
      </c>
      <c r="C44" s="129"/>
      <c r="D44" s="130"/>
    </row>
    <row r="45">
      <c r="A45" s="121">
        <f>IFERROR(__xludf.DUMMYFUNCTION("""COMPUTED_VALUE"""),45.0)</f>
        <v>45</v>
      </c>
      <c r="B45" s="122" t="str">
        <f>IFERROR(__xludf.DUMMYFUNCTION("""COMPUTED_VALUE"""),"Sniflheim Castle: jars in the south room of the basement")</f>
        <v>Sniflheim Castle: jars in the south room of the basement</v>
      </c>
      <c r="C45" s="129"/>
      <c r="D45" s="130"/>
    </row>
    <row r="46">
      <c r="A46" s="125">
        <f>IFERROR(__xludf.DUMMYFUNCTION("""COMPUTED_VALUE"""),46.0)</f>
        <v>46</v>
      </c>
      <c r="B46" s="126" t="str">
        <f>IFERROR(__xludf.DUMMYFUNCTION("""COMPUTED_VALUE"""),"Arborian Highlands: chest in the spiral climbing section in the north, requires eggsoskeleton")</f>
        <v>Arborian Highlands: chest in the spiral climbing section in the north, requires eggsoskeleton</v>
      </c>
      <c r="C46" s="129"/>
      <c r="D46" s="130"/>
    </row>
    <row r="47">
      <c r="A47" s="121">
        <f>IFERROR(__xludf.DUMMYFUNCTION("""COMPUTED_VALUE"""),47.0)</f>
        <v>47</v>
      </c>
      <c r="B47" s="122" t="str">
        <f>IFERROR(__xludf.DUMMYFUNCTION("""COMPUTED_VALUE"""),"Arboria: chest to the right of the stairs at the entrance")</f>
        <v>Arboria: chest to the right of the stairs at the entrance</v>
      </c>
      <c r="C47" s="129"/>
      <c r="D47" s="130"/>
    </row>
    <row r="48">
      <c r="A48" s="125">
        <f>IFERROR(__xludf.DUMMYFUNCTION("""COMPUTED_VALUE"""),48.0)</f>
        <v>48</v>
      </c>
      <c r="B48" s="126" t="str">
        <f>IFERROR(__xludf.DUMMYFUNCTION("""COMPUTED_VALUE"""),"Arborian Highlands - After Arboria - chest north of camp")</f>
        <v>Arborian Highlands - After Arboria - chest north of camp</v>
      </c>
      <c r="C48" s="129"/>
      <c r="D48" s="130"/>
    </row>
    <row r="49">
      <c r="A49" s="133">
        <f>IFERROR(__xludf.DUMMYFUNCTION("""COMPUTED_VALUE"""),49.0)</f>
        <v>49</v>
      </c>
      <c r="B49" s="25"/>
      <c r="C49" s="129"/>
      <c r="D49" s="130"/>
    </row>
    <row r="50">
      <c r="A50" s="125" t="str">
        <f>IFERROR(__xludf.DUMMYFUNCTION("""COMPUTED_VALUE"""),"Part 2")</f>
        <v>Part 2</v>
      </c>
      <c r="B50" s="126"/>
      <c r="C50" s="129"/>
      <c r="D50" s="130"/>
    </row>
    <row r="51">
      <c r="A51" s="121">
        <f>IFERROR(__xludf.DUMMYFUNCTION("""COMPUTED_VALUE"""),50.0)</f>
        <v>50</v>
      </c>
      <c r="B51" s="122" t="str">
        <f>IFERROR(__xludf.DUMMYFUNCTION("""COMPUTED_VALUE"""),"Nautica: chest to the northwest of the item shop, lower level, requires fish")</f>
        <v>Nautica: chest to the northwest of the item shop, lower level, requires fish</v>
      </c>
      <c r="C51" s="129"/>
      <c r="D51" s="130"/>
    </row>
    <row r="52">
      <c r="A52" s="125">
        <f>IFERROR(__xludf.DUMMYFUNCTION("""COMPUTED_VALUE"""),51.0)</f>
        <v>51</v>
      </c>
      <c r="B52" s="126" t="str">
        <f>IFERROR(__xludf.DUMMYFUNCTION("""COMPUTED_VALUE"""),"Last Bastion: barrel in northwest broken house")</f>
        <v>Last Bastion: barrel in northwest broken house</v>
      </c>
      <c r="C52" s="129"/>
      <c r="D52" s="130"/>
    </row>
    <row r="53">
      <c r="A53" s="121">
        <f>IFERROR(__xludf.DUMMYFUNCTION("""COMPUTED_VALUE"""),52.0)</f>
        <v>52</v>
      </c>
      <c r="B53" s="122" t="str">
        <f>IFERROR(__xludf.DUMMYFUNCTION("""COMPUTED_VALUE"""),"Heliodor Dungeons - Lower Level: barrel in south middle cell")</f>
        <v>Heliodor Dungeons - Lower Level: barrel in south middle cell</v>
      </c>
      <c r="C53" s="129"/>
      <c r="D53" s="130"/>
    </row>
    <row r="54">
      <c r="A54" s="125">
        <f>IFERROR(__xludf.DUMMYFUNCTION("""COMPUTED_VALUE"""),53.0)</f>
        <v>53</v>
      </c>
      <c r="B54" s="126" t="str">
        <f>IFERROR(__xludf.DUMMYFUNCTION("""COMPUTED_VALUE"""),"Heliodor Sewers: chest in northwest small room")</f>
        <v>Heliodor Sewers: chest in northwest small room</v>
      </c>
      <c r="C54" s="129"/>
      <c r="D54" s="130"/>
    </row>
    <row r="55">
      <c r="A55" s="121">
        <f>IFERROR(__xludf.DUMMYFUNCTION("""COMPUTED_VALUE"""),54.0)</f>
        <v>54</v>
      </c>
      <c r="B55" s="122" t="str">
        <f>IFERROR(__xludf.DUMMYFUNCTION("""COMPUTED_VALUE"""),"Manglegrove: chest in the newly available area in the southwest")</f>
        <v>Manglegrove: chest in the newly available area in the southwest</v>
      </c>
      <c r="C55" s="129"/>
      <c r="D55" s="130"/>
    </row>
    <row r="56">
      <c r="A56" s="125">
        <f>IFERROR(__xludf.DUMMYFUNCTION("""COMPUTED_VALUE"""),55.0)</f>
        <v>55</v>
      </c>
      <c r="B56" s="126" t="str">
        <f>IFERROR(__xludf.DUMMYFUNCTION("""COMPUTED_VALUE"""),"Mount Pang Hai: chest in western dead end in first area")</f>
        <v>Mount Pang Hai: chest in western dead end in first area</v>
      </c>
      <c r="C56" s="129"/>
      <c r="D56" s="129"/>
    </row>
    <row r="57">
      <c r="A57" s="121">
        <f>IFERROR(__xludf.DUMMYFUNCTION("""COMPUTED_VALUE"""),56.0)</f>
        <v>56</v>
      </c>
      <c r="B57" s="122" t="str">
        <f>IFERROR(__xludf.DUMMYFUNCTION("""COMPUTED_VALUE"""),"Angri-La: jar in east room of middle level")</f>
        <v>Angri-La: jar in east room of middle level</v>
      </c>
      <c r="C57" s="129"/>
      <c r="D57" s="129"/>
    </row>
    <row r="58">
      <c r="A58" s="125">
        <f>IFERROR(__xludf.DUMMYFUNCTION("""COMPUTED_VALUE"""),57.0)</f>
        <v>57</v>
      </c>
      <c r="B58" s="126" t="str">
        <f>IFERROR(__xludf.DUMMYFUNCTION("""COMPUTED_VALUE"""),"Dundrasil Region: chest in the north, needs demonrider mount")</f>
        <v>Dundrasil Region: chest in the north, needs demonrider mount</v>
      </c>
      <c r="C58" s="129"/>
      <c r="D58" s="129"/>
    </row>
    <row r="59">
      <c r="A59" s="121">
        <f>IFERROR(__xludf.DUMMYFUNCTION("""COMPUTED_VALUE"""),58.0)</f>
        <v>58</v>
      </c>
      <c r="B59" s="122" t="str">
        <f>IFERROR(__xludf.DUMMYFUNCTION("""COMPUTED_VALUE"""),"Insula Algarum: chest on small island, needs flying dragon mount")</f>
        <v>Insula Algarum: chest on small island, needs flying dragon mount</v>
      </c>
      <c r="C59" s="129"/>
      <c r="D59" s="129"/>
    </row>
    <row r="60">
      <c r="A60" s="125">
        <f>IFERROR(__xludf.DUMMYFUNCTION("""COMPUTED_VALUE"""),59.0)</f>
        <v>59</v>
      </c>
      <c r="B60" s="126" t="str">
        <f>IFERROR(__xludf.DUMMYFUNCTION("""COMPUTED_VALUE"""),"Sniflheim Region: chest to the north of the shelter")</f>
        <v>Sniflheim Region: chest to the north of the shelter</v>
      </c>
      <c r="C60" s="129"/>
      <c r="D60" s="129"/>
    </row>
    <row r="61">
      <c r="A61" s="121">
        <f>IFERROR(__xludf.DUMMYFUNCTION("""COMPUTED_VALUE"""),60.0)</f>
        <v>60</v>
      </c>
      <c r="B61" s="122" t="str">
        <f>IFERROR(__xludf.DUMMYFUNCTION("""COMPUTED_VALUE"""),"Hotto: cabinet in shrine back room")</f>
        <v>Hotto: cabinet in shrine back room</v>
      </c>
      <c r="C61" s="129"/>
      <c r="D61" s="129"/>
    </row>
    <row r="62">
      <c r="A62" s="125">
        <f>IFERROR(__xludf.DUMMYFUNCTION("""COMPUTED_VALUE"""),61.0)</f>
        <v>61</v>
      </c>
      <c r="B62" s="126" t="str">
        <f>IFERROR(__xludf.DUMMYFUNCTION("""COMPUTED_VALUE"""),"Battleground: chest in the south of floor B2")</f>
        <v>Battleground: chest in the south of floor B2</v>
      </c>
      <c r="C62" s="129"/>
      <c r="D62" s="129"/>
    </row>
    <row r="63">
      <c r="A63" s="121">
        <f>IFERROR(__xludf.DUMMYFUNCTION("""COMPUTED_VALUE"""),62.0)</f>
        <v>62</v>
      </c>
      <c r="B63" s="122" t="str">
        <f>IFERROR(__xludf.DUMMYFUNCTION("""COMPUTED_VALUE"""),"Mount Huji: chest in center of caldera area, requires mount to break rock")</f>
        <v>Mount Huji: chest in center of caldera area, requires mount to break rock</v>
      </c>
      <c r="C63" s="129"/>
      <c r="D63" s="129"/>
    </row>
    <row r="64">
      <c r="A64" s="133">
        <f>IFERROR(__xludf.DUMMYFUNCTION("""COMPUTED_VALUE"""),63.0)</f>
        <v>63</v>
      </c>
      <c r="B64" s="8"/>
      <c r="C64" s="129"/>
      <c r="D64" s="129"/>
    </row>
    <row r="65">
      <c r="A65" s="121" t="str">
        <f>IFERROR(__xludf.DUMMYFUNCTION("""COMPUTED_VALUE"""),"Postgame")</f>
        <v>Postgame</v>
      </c>
      <c r="B65" s="122"/>
      <c r="C65" s="129"/>
      <c r="D65" s="129"/>
    </row>
    <row r="66">
      <c r="A66" s="125">
        <f>IFERROR(__xludf.DUMMYFUNCTION("""COMPUTED_VALUE"""),64.0)</f>
        <v>64</v>
      </c>
      <c r="B66" s="126" t="str">
        <f>IFERROR(__xludf.DUMMYFUNCTION("""COMPUTED_VALUE"""),"Arborian Highlands - After Arboria - chest north of camp (Same as #47, respawns!)")</f>
        <v>Arborian Highlands - After Arboria - chest north of camp (Same as #47, respawns!)</v>
      </c>
      <c r="C66" s="129"/>
      <c r="D66" s="129"/>
    </row>
    <row r="67">
      <c r="A67" s="121">
        <f>IFERROR(__xludf.DUMMYFUNCTION("""COMPUTED_VALUE"""),65.0)</f>
        <v>65</v>
      </c>
      <c r="B67" s="122" t="str">
        <f>IFERROR(__xludf.DUMMYFUNCTION("""COMPUTED_VALUE"""),"First Forest: chest below the altar (Same as #48, respawns!)")</f>
        <v>First Forest: chest below the altar (Same as #48, respawns!)</v>
      </c>
      <c r="C67" s="129"/>
      <c r="D67" s="129"/>
    </row>
    <row r="68">
      <c r="A68" s="125">
        <f>IFERROR(__xludf.DUMMYFUNCTION("""COMPUTED_VALUE"""),66.0)</f>
        <v>66</v>
      </c>
      <c r="B68" s="126" t="str">
        <f>IFERROR(__xludf.DUMMYFUNCTION("""COMPUTED_VALUE"""),"Heliodor Castle: Barrel in room east of kitchen")</f>
        <v>Heliodor Castle: Barrel in room east of kitchen</v>
      </c>
      <c r="C68" s="129"/>
      <c r="D68" s="129"/>
    </row>
    <row r="69">
      <c r="A69" s="121">
        <f>IFERROR(__xludf.DUMMYFUNCTION("""COMPUTED_VALUE"""),67.0)</f>
        <v>67</v>
      </c>
      <c r="B69" s="122" t="str">
        <f>IFERROR(__xludf.DUMMYFUNCTION("""COMPUTED_VALUE"""),"Ultimate Key: Gondolia")</f>
        <v>Ultimate Key: Gondolia</v>
      </c>
      <c r="C69" s="129"/>
      <c r="D69" s="129"/>
    </row>
    <row r="70">
      <c r="A70" s="125">
        <f>IFERROR(__xludf.DUMMYFUNCTION("""COMPUTED_VALUE"""),68.0)</f>
        <v>68</v>
      </c>
      <c r="B70" s="126" t="str">
        <f>IFERROR(__xludf.DUMMYFUNCTION("""COMPUTED_VALUE"""),"Cobblestone: after postgame event, barrel in Gemma's house")</f>
        <v>Cobblestone: after postgame event, barrel in Gemma's house</v>
      </c>
      <c r="C70" s="129"/>
      <c r="D70" s="129"/>
    </row>
    <row r="71">
      <c r="A71" s="121">
        <f>IFERROR(__xludf.DUMMYFUNCTION("""COMPUTED_VALUE"""),69.0)</f>
        <v>69</v>
      </c>
      <c r="B71" s="122" t="str">
        <f>IFERROR(__xludf.DUMMYFUNCTION("""COMPUTED_VALUE"""),"Insula Centralis: chest in area reached with flying mount")</f>
        <v>Insula Centralis: chest in area reached with flying mount</v>
      </c>
      <c r="C71" s="129"/>
      <c r="D71" s="129"/>
    </row>
    <row r="72">
      <c r="A72" s="125" t="str">
        <f>IFERROR(__xludf.DUMMYFUNCTION("""COMPUTED_VALUE"""),"70-72")</f>
        <v>70-72</v>
      </c>
      <c r="B72" s="126" t="str">
        <f>IFERROR(__xludf.DUMMYFUNCTION("""COMPUTED_VALUE"""),"Ultimate Key: Champs Sauvage - Whale Way ")</f>
        <v>Ultimate Key: Champs Sauvage - Whale Way </v>
      </c>
      <c r="C72" s="129"/>
      <c r="D72" s="129"/>
    </row>
    <row r="73">
      <c r="A73" s="121" t="str">
        <f>IFERROR(__xludf.DUMMYFUNCTION("""COMPUTED_VALUE"""),"73-74")</f>
        <v>73-74</v>
      </c>
      <c r="B73" s="122" t="str">
        <f>IFERROR(__xludf.DUMMYFUNCTION("""COMPUTED_VALUE"""),"Disciple's Trial - Crypts: northeast small room in center of the top level")</f>
        <v>Disciple's Trial - Crypts: northeast small room in center of the top level</v>
      </c>
      <c r="C73" s="129"/>
      <c r="D73" s="129"/>
    </row>
    <row r="74">
      <c r="A74" s="125" t="str">
        <f>IFERROR(__xludf.DUMMYFUNCTION("""COMPUTED_VALUE"""),"75-77")</f>
        <v>75-77</v>
      </c>
      <c r="B74" s="126" t="str">
        <f>IFERROR(__xludf.DUMMYFUNCTION("""COMPUTED_VALUE"""),"Disciple's Trial - Eyrie: chest on ledge in center of map near the river, requires flying mount")</f>
        <v>Disciple's Trial - Eyrie: chest on ledge in center of map near the river, requires flying mount</v>
      </c>
      <c r="C74" s="129"/>
      <c r="D74" s="129"/>
    </row>
    <row r="75">
      <c r="A75" s="121" t="str">
        <f>IFERROR(__xludf.DUMMYFUNCTION("""COMPUTED_VALUE"""),"78-80")</f>
        <v>78-80</v>
      </c>
      <c r="B75" s="122" t="str">
        <f>IFERROR(__xludf.DUMMYFUNCTION("""COMPUTED_VALUE"""),"Sage's Trial - Forest: take southern teleporter and turn around to find chest")</f>
        <v>Sage's Trial - Forest: take southern teleporter and turn around to find chest</v>
      </c>
      <c r="C75" s="129"/>
      <c r="D75" s="129"/>
    </row>
    <row r="76">
      <c r="A76" s="133" t="str">
        <f>IFERROR(__xludf.DUMMYFUNCTION("""COMPUTED_VALUE"""),"81-85")</f>
        <v>81-85</v>
      </c>
      <c r="B76" s="8"/>
      <c r="C76" s="129"/>
      <c r="D76" s="129"/>
    </row>
    <row r="77">
      <c r="A77" s="121" t="str">
        <f>IFERROR(__xludf.DUMMYFUNCTION("""COMPUTED_VALUE"""),"Quest/Event Rewards")</f>
        <v>Quest/Event Rewards</v>
      </c>
      <c r="B77" s="122"/>
      <c r="C77" s="129"/>
      <c r="D77" s="129"/>
    </row>
    <row r="78">
      <c r="A78" s="125">
        <f>IFERROR(__xludf.DUMMYFUNCTION("""COMPUTED_VALUE"""),1.0)</f>
        <v>1</v>
      </c>
      <c r="B78" s="126" t="str">
        <f>IFERROR(__xludf.DUMMYFUNCTION("""COMPUTED_VALUE"""),"Gondolia Quest: An Even Lovelier Letter")</f>
        <v>Gondolia Quest: An Even Lovelier Letter</v>
      </c>
      <c r="C78" s="129"/>
      <c r="D78" s="129"/>
    </row>
    <row r="79">
      <c r="A79" s="121">
        <f>IFERROR(__xludf.DUMMYFUNCTION("""COMPUTED_VALUE"""),1.0)</f>
        <v>1</v>
      </c>
      <c r="B79" s="122" t="str">
        <f>IFERROR(__xludf.DUMMYFUNCTION("""COMPUTED_VALUE"""),"Octagonia Quest: The Shadow")</f>
        <v>Octagonia Quest: The Shadow</v>
      </c>
      <c r="C79" s="129"/>
      <c r="D79" s="129"/>
    </row>
    <row r="80">
      <c r="A80" s="125">
        <f>IFERROR(__xludf.DUMMYFUNCTION("""COMPUTED_VALUE"""),1.0)</f>
        <v>1</v>
      </c>
      <c r="B80" s="126" t="str">
        <f>IFERROR(__xludf.DUMMYFUNCTION("""COMPUTED_VALUE"""),"Puerto Valor: First stay at the medal hotel")</f>
        <v>Puerto Valor: First stay at the medal hotel</v>
      </c>
      <c r="C80" s="129"/>
      <c r="D80" s="129"/>
    </row>
    <row r="81">
      <c r="A81" s="121">
        <f>IFERROR(__xludf.DUMMYFUNCTION("""COMPUTED_VALUE"""),3.0)</f>
        <v>3</v>
      </c>
      <c r="B81" s="122" t="str">
        <f>IFERROR(__xludf.DUMMYFUNCTION("""COMPUTED_VALUE"""),"L'Academie Quest: Making Things Right")</f>
        <v>L'Academie Quest: Making Things Right</v>
      </c>
      <c r="C81" s="129"/>
      <c r="D81" s="129"/>
    </row>
    <row r="82">
      <c r="A82" s="125">
        <f>IFERROR(__xludf.DUMMYFUNCTION("""COMPUTED_VALUE"""),5.0)</f>
        <v>5</v>
      </c>
      <c r="B82" s="126" t="str">
        <f>IFERROR(__xludf.DUMMYFUNCTION("""COMPUTED_VALUE"""),"L'Academie Quest: A Right Riddle (Part 2)")</f>
        <v>L'Academie Quest: A Right Riddle (Part 2)</v>
      </c>
      <c r="C82" s="129"/>
      <c r="D82" s="129"/>
    </row>
    <row r="83">
      <c r="A83" s="121">
        <f>IFERROR(__xludf.DUMMYFUNCTION("""COMPUTED_VALUE"""),10.0)</f>
        <v>10</v>
      </c>
      <c r="B83" s="122" t="str">
        <f>IFERROR(__xludf.DUMMYFUNCTION("""COMPUTED_VALUE"""),"Phnom Nonh: Postgame event, talk to the boy after beating the boss")</f>
        <v>Phnom Nonh: Postgame event, talk to the boy after beating the boss</v>
      </c>
      <c r="C83" s="129"/>
      <c r="D83" s="129"/>
    </row>
    <row r="84">
      <c r="A84" s="125">
        <f>IFERROR(__xludf.DUMMYFUNCTION("""COMPUTED_VALUE"""),5.0)</f>
        <v>5</v>
      </c>
      <c r="B84" s="126" t="str">
        <f>IFERROR(__xludf.DUMMYFUNCTION("""COMPUTED_VALUE"""),"Phnom Nonh Quest: Sweet Dreams (Postgame)")</f>
        <v>Phnom Nonh Quest: Sweet Dreams (Postgame)</v>
      </c>
      <c r="C84" s="129"/>
      <c r="D84" s="129"/>
    </row>
    <row r="85">
      <c r="A85" s="134">
        <f>IFERROR(__xludf.DUMMYFUNCTION("""COMPUTED_VALUE"""),10.0)</f>
        <v>10</v>
      </c>
      <c r="B85" s="25"/>
      <c r="C85" s="129"/>
      <c r="D85" s="129"/>
    </row>
    <row r="86">
      <c r="A86" s="135" t="str">
        <f>IFERROR(__xludf.DUMMYFUNCTION("""COMPUTED_VALUE"""),"Infinite Mini Medal Farming")</f>
        <v>Infinite Mini Medal Farming</v>
      </c>
      <c r="B86" s="136"/>
      <c r="C86" s="129"/>
      <c r="D86" s="129"/>
    </row>
    <row r="87">
      <c r="A87" s="137" t="str">
        <f>IFERROR(__xludf.DUMMYFUNCTION("""COMPUTED_VALUE"""),"∞")</f>
        <v>∞</v>
      </c>
      <c r="B87" s="138" t="str">
        <f>IFERROR(__xludf.DUMMYFUNCTION("""COMPUTED_VALUE"""),"Black Cup Consolation Prize.  Difficult course is free to enter.")</f>
        <v>Black Cup Consolation Prize.  Difficult course is free to enter.</v>
      </c>
      <c r="C87" s="129"/>
      <c r="D87" s="129"/>
    </row>
    <row r="88">
      <c r="A88" s="139" t="str">
        <f>IFERROR(__xludf.DUMMYFUNCTION("""COMPUTED_VALUE"""),"∞")</f>
        <v>∞</v>
      </c>
      <c r="B88" s="140" t="str">
        <f>IFERROR(__xludf.DUMMYFUNCTION("""COMPUTED_VALUE"""),"Steal from Vicious Penny Pincher in The Disciple's Trial - Cruel Crypts, fall in the pit to find them")</f>
        <v>Steal from Vicious Penny Pincher in The Disciple's Trial - Cruel Crypts, fall in the pit to find them</v>
      </c>
      <c r="C88" s="141"/>
      <c r="D88" s="141"/>
    </row>
    <row r="89">
      <c r="A89" s="142"/>
      <c r="B89" s="143"/>
      <c r="C89" s="141"/>
      <c r="D89" s="141"/>
    </row>
    <row r="90">
      <c r="A90" s="139"/>
      <c r="B90" s="140"/>
      <c r="C90" s="141"/>
      <c r="D90" s="141"/>
    </row>
    <row r="91">
      <c r="A91" s="142"/>
      <c r="B91" s="143"/>
      <c r="C91" s="141"/>
      <c r="D91" s="141"/>
    </row>
    <row r="92">
      <c r="A92" s="139"/>
      <c r="B92" s="140"/>
      <c r="C92" s="141"/>
      <c r="D92" s="141"/>
    </row>
    <row r="93">
      <c r="A93" s="142"/>
      <c r="B93" s="143"/>
      <c r="C93" s="141"/>
      <c r="D93" s="141"/>
    </row>
    <row r="94">
      <c r="A94" s="139"/>
      <c r="B94" s="140"/>
      <c r="C94" s="141"/>
      <c r="D94" s="141"/>
    </row>
    <row r="95">
      <c r="A95" s="142"/>
      <c r="B95" s="143"/>
      <c r="C95" s="141"/>
      <c r="D95" s="141"/>
    </row>
    <row r="96">
      <c r="A96" s="139"/>
      <c r="B96" s="140"/>
      <c r="C96" s="141"/>
      <c r="D96" s="141"/>
    </row>
    <row r="97">
      <c r="A97" s="142"/>
      <c r="B97" s="143"/>
      <c r="C97" s="141"/>
      <c r="D97" s="141"/>
    </row>
    <row r="98">
      <c r="A98" s="139"/>
      <c r="B98" s="140"/>
      <c r="C98" s="141"/>
      <c r="D98" s="141"/>
    </row>
    <row r="99">
      <c r="A99" s="142"/>
      <c r="B99" s="143"/>
      <c r="C99" s="141"/>
      <c r="D99" s="141"/>
    </row>
    <row r="100">
      <c r="A100" s="139"/>
      <c r="B100" s="140"/>
      <c r="C100" s="141"/>
      <c r="D100" s="141"/>
    </row>
    <row r="101">
      <c r="A101" s="142"/>
      <c r="B101" s="143"/>
      <c r="C101" s="141"/>
      <c r="D101" s="141"/>
    </row>
    <row r="102">
      <c r="A102" s="139"/>
      <c r="B102" s="140"/>
      <c r="C102" s="141"/>
      <c r="D102" s="141"/>
    </row>
    <row r="103">
      <c r="A103" s="142"/>
      <c r="B103" s="143"/>
      <c r="C103" s="141"/>
      <c r="D103" s="141"/>
    </row>
    <row r="104">
      <c r="A104" s="139"/>
      <c r="B104" s="140"/>
      <c r="C104" s="141"/>
      <c r="D104" s="141"/>
    </row>
    <row r="105">
      <c r="A105" s="142"/>
      <c r="B105" s="143"/>
      <c r="C105" s="141"/>
      <c r="D105" s="141"/>
    </row>
    <row r="106">
      <c r="A106" s="139"/>
      <c r="B106" s="140"/>
      <c r="C106" s="141"/>
      <c r="D106" s="141"/>
    </row>
    <row r="107">
      <c r="A107" s="142"/>
      <c r="B107" s="143"/>
      <c r="C107" s="141"/>
      <c r="D107" s="141"/>
    </row>
    <row r="108">
      <c r="A108" s="139"/>
      <c r="B108" s="140"/>
      <c r="C108" s="141"/>
      <c r="D108" s="141"/>
    </row>
    <row r="109">
      <c r="A109" s="142"/>
      <c r="B109" s="143"/>
      <c r="C109" s="141"/>
      <c r="D109" s="141"/>
    </row>
    <row r="110">
      <c r="A110" s="139"/>
      <c r="B110" s="140"/>
      <c r="C110" s="141"/>
      <c r="D110" s="141"/>
    </row>
    <row r="111">
      <c r="A111" s="142"/>
      <c r="B111" s="143"/>
      <c r="C111" s="141"/>
      <c r="D111" s="141"/>
    </row>
    <row r="112">
      <c r="A112" s="139"/>
      <c r="B112" s="140"/>
      <c r="C112" s="141"/>
      <c r="D112" s="141"/>
    </row>
    <row r="113">
      <c r="A113" s="142"/>
      <c r="B113" s="143"/>
      <c r="C113" s="141"/>
      <c r="D113" s="141"/>
    </row>
    <row r="114">
      <c r="A114" s="139"/>
      <c r="B114" s="140"/>
      <c r="C114" s="141"/>
      <c r="D114" s="141"/>
    </row>
    <row r="115">
      <c r="A115" s="142"/>
      <c r="B115" s="143"/>
      <c r="C115" s="141"/>
      <c r="D115" s="141"/>
    </row>
    <row r="116">
      <c r="A116" s="139"/>
      <c r="B116" s="140"/>
      <c r="C116" s="141"/>
      <c r="D116" s="141"/>
    </row>
    <row r="117">
      <c r="A117" s="142"/>
      <c r="B117" s="143"/>
      <c r="C117" s="141"/>
      <c r="D117" s="141"/>
    </row>
    <row r="118">
      <c r="A118" s="139"/>
      <c r="B118" s="140"/>
      <c r="C118" s="141"/>
      <c r="D118" s="141"/>
    </row>
    <row r="119">
      <c r="A119" s="142"/>
      <c r="B119" s="143"/>
      <c r="C119" s="141"/>
      <c r="D119" s="141"/>
    </row>
    <row r="120">
      <c r="A120" s="139"/>
      <c r="B120" s="140"/>
      <c r="C120" s="141"/>
      <c r="D120" s="141"/>
    </row>
    <row r="121">
      <c r="A121" s="142"/>
      <c r="B121" s="143"/>
      <c r="C121" s="141"/>
      <c r="D121" s="141"/>
    </row>
    <row r="122">
      <c r="A122" s="139"/>
      <c r="B122" s="140"/>
      <c r="C122" s="141"/>
      <c r="D122" s="141"/>
    </row>
    <row r="123">
      <c r="A123" s="142"/>
      <c r="B123" s="143"/>
      <c r="C123" s="141"/>
      <c r="D123" s="141"/>
    </row>
    <row r="124">
      <c r="A124" s="139"/>
      <c r="B124" s="140"/>
      <c r="C124" s="141"/>
      <c r="D124" s="141"/>
    </row>
    <row r="125">
      <c r="A125" s="142"/>
      <c r="B125" s="143"/>
      <c r="C125" s="141"/>
      <c r="D125" s="141"/>
    </row>
    <row r="126">
      <c r="A126" s="139"/>
      <c r="B126" s="140"/>
      <c r="C126" s="141"/>
      <c r="D126" s="141"/>
    </row>
    <row r="127">
      <c r="A127" s="142"/>
      <c r="B127" s="143"/>
      <c r="C127" s="141"/>
      <c r="D127" s="141"/>
    </row>
    <row r="128">
      <c r="A128" s="139"/>
      <c r="B128" s="140"/>
      <c r="C128" s="141"/>
      <c r="D128" s="141"/>
    </row>
    <row r="129">
      <c r="A129" s="142"/>
      <c r="B129" s="143"/>
      <c r="C129" s="141"/>
      <c r="D129" s="141"/>
    </row>
    <row r="130">
      <c r="A130" s="139"/>
      <c r="B130" s="140"/>
      <c r="C130" s="141"/>
      <c r="D130" s="141"/>
    </row>
    <row r="131">
      <c r="A131" s="142"/>
      <c r="B131" s="143"/>
      <c r="C131" s="141"/>
      <c r="D131" s="141"/>
    </row>
    <row r="132">
      <c r="A132" s="139"/>
      <c r="B132" s="140"/>
      <c r="C132" s="141"/>
      <c r="D132" s="141"/>
    </row>
    <row r="133">
      <c r="A133" s="142"/>
      <c r="B133" s="143"/>
      <c r="C133" s="141"/>
      <c r="D133" s="141"/>
    </row>
    <row r="134">
      <c r="A134" s="139"/>
      <c r="B134" s="140"/>
      <c r="C134" s="141"/>
      <c r="D134" s="141"/>
    </row>
    <row r="135">
      <c r="A135" s="142"/>
      <c r="B135" s="143"/>
      <c r="C135" s="141"/>
      <c r="D135" s="141"/>
    </row>
    <row r="136">
      <c r="A136" s="139"/>
      <c r="B136" s="140"/>
      <c r="C136" s="141"/>
      <c r="D136" s="141"/>
    </row>
    <row r="137">
      <c r="A137" s="142"/>
      <c r="B137" s="143"/>
      <c r="C137" s="141"/>
      <c r="D137" s="141"/>
    </row>
    <row r="138">
      <c r="A138" s="139"/>
      <c r="B138" s="140"/>
      <c r="C138" s="141"/>
      <c r="D138" s="141"/>
    </row>
    <row r="139">
      <c r="A139" s="142"/>
      <c r="B139" s="143"/>
      <c r="C139" s="141"/>
      <c r="D139" s="141"/>
    </row>
    <row r="140">
      <c r="A140" s="139"/>
      <c r="B140" s="140"/>
      <c r="C140" s="141"/>
      <c r="D140" s="141"/>
    </row>
    <row r="141">
      <c r="A141" s="142"/>
      <c r="B141" s="143"/>
      <c r="C141" s="141"/>
      <c r="D141" s="141"/>
    </row>
    <row r="142">
      <c r="A142" s="139"/>
      <c r="B142" s="140"/>
      <c r="C142" s="141"/>
      <c r="D142" s="141"/>
    </row>
    <row r="143">
      <c r="A143" s="142"/>
      <c r="B143" s="143"/>
      <c r="C143" s="141"/>
      <c r="D143" s="141"/>
    </row>
    <row r="144">
      <c r="A144" s="139"/>
      <c r="B144" s="140"/>
      <c r="C144" s="141"/>
      <c r="D144" s="141"/>
    </row>
    <row r="145">
      <c r="A145" s="142"/>
      <c r="B145" s="143"/>
      <c r="C145" s="141"/>
      <c r="D145" s="141"/>
    </row>
    <row r="146">
      <c r="A146" s="139"/>
      <c r="B146" s="140"/>
      <c r="C146" s="141"/>
      <c r="D146" s="141"/>
    </row>
    <row r="147">
      <c r="A147" s="142"/>
      <c r="B147" s="143"/>
      <c r="C147" s="141"/>
      <c r="D147" s="141"/>
    </row>
    <row r="148">
      <c r="A148" s="139"/>
      <c r="B148" s="140"/>
      <c r="C148" s="141"/>
      <c r="D148" s="141"/>
    </row>
    <row r="149">
      <c r="A149" s="142"/>
      <c r="B149" s="143"/>
      <c r="C149" s="141"/>
      <c r="D149" s="141"/>
    </row>
    <row r="150">
      <c r="A150" s="139"/>
      <c r="B150" s="140"/>
      <c r="C150" s="141"/>
      <c r="D150" s="141"/>
    </row>
    <row r="151">
      <c r="A151" s="142"/>
      <c r="B151" s="143"/>
      <c r="C151" s="141"/>
      <c r="D151" s="141"/>
    </row>
    <row r="152">
      <c r="A152" s="139"/>
      <c r="B152" s="140"/>
      <c r="C152" s="141"/>
      <c r="D152" s="141"/>
    </row>
    <row r="153">
      <c r="A153" s="142"/>
      <c r="B153" s="143"/>
      <c r="C153" s="141"/>
      <c r="D153" s="141"/>
    </row>
    <row r="154">
      <c r="A154" s="139"/>
      <c r="B154" s="140"/>
      <c r="C154" s="141"/>
      <c r="D154" s="141"/>
    </row>
    <row r="155">
      <c r="A155" s="142"/>
      <c r="B155" s="143"/>
      <c r="C155" s="141"/>
      <c r="D155" s="141"/>
    </row>
    <row r="156">
      <c r="A156" s="139"/>
      <c r="B156" s="140"/>
      <c r="C156" s="141"/>
      <c r="D156" s="141"/>
    </row>
    <row r="157">
      <c r="A157" s="142"/>
      <c r="B157" s="143"/>
      <c r="C157" s="141"/>
      <c r="D157" s="141"/>
    </row>
    <row r="158">
      <c r="A158" s="139"/>
      <c r="B158" s="140"/>
      <c r="C158" s="141"/>
      <c r="D158" s="141"/>
    </row>
    <row r="159">
      <c r="A159" s="142"/>
      <c r="B159" s="143"/>
      <c r="C159" s="141"/>
      <c r="D159" s="141"/>
    </row>
    <row r="160">
      <c r="A160" s="139"/>
      <c r="B160" s="140"/>
      <c r="C160" s="141"/>
      <c r="D160" s="141"/>
    </row>
    <row r="161">
      <c r="A161" s="142"/>
      <c r="B161" s="143"/>
      <c r="C161" s="141"/>
      <c r="D161" s="141"/>
    </row>
    <row r="162">
      <c r="A162" s="139"/>
      <c r="B162" s="140"/>
      <c r="C162" s="141"/>
      <c r="D162" s="141"/>
    </row>
    <row r="163">
      <c r="A163" s="142"/>
      <c r="B163" s="143"/>
      <c r="C163" s="141"/>
      <c r="D163" s="141"/>
    </row>
    <row r="164">
      <c r="A164" s="139"/>
      <c r="B164" s="140"/>
      <c r="C164" s="141"/>
      <c r="D164" s="141"/>
    </row>
    <row r="165">
      <c r="A165" s="142"/>
      <c r="B165" s="143"/>
      <c r="C165" s="141"/>
      <c r="D165" s="141"/>
    </row>
    <row r="166">
      <c r="A166" s="139"/>
      <c r="B166" s="140"/>
      <c r="C166" s="141"/>
      <c r="D166" s="141"/>
    </row>
    <row r="167">
      <c r="A167" s="142"/>
      <c r="B167" s="143"/>
      <c r="C167" s="141"/>
      <c r="D167" s="141"/>
    </row>
    <row r="168">
      <c r="A168" s="139"/>
      <c r="B168" s="140"/>
      <c r="C168" s="141"/>
      <c r="D168" s="141"/>
    </row>
    <row r="169">
      <c r="A169" s="142"/>
      <c r="B169" s="143"/>
      <c r="C169" s="141"/>
      <c r="D169" s="141"/>
    </row>
    <row r="170">
      <c r="A170" s="139"/>
      <c r="B170" s="140"/>
      <c r="C170" s="141"/>
      <c r="D170" s="141"/>
    </row>
    <row r="171">
      <c r="A171" s="142"/>
      <c r="B171" s="143"/>
      <c r="C171" s="141"/>
      <c r="D171" s="141"/>
    </row>
    <row r="172">
      <c r="A172" s="139"/>
      <c r="B172" s="140"/>
      <c r="C172" s="141"/>
      <c r="D172" s="141"/>
    </row>
    <row r="173">
      <c r="A173" s="142"/>
      <c r="B173" s="143"/>
      <c r="C173" s="141"/>
      <c r="D173" s="141"/>
    </row>
    <row r="174">
      <c r="A174" s="139"/>
      <c r="B174" s="140"/>
      <c r="C174" s="141"/>
      <c r="D174" s="141"/>
    </row>
    <row r="175">
      <c r="A175" s="142"/>
      <c r="B175" s="143"/>
      <c r="C175" s="141"/>
      <c r="D175" s="141"/>
    </row>
    <row r="176">
      <c r="A176" s="139"/>
      <c r="B176" s="140"/>
      <c r="C176" s="141"/>
      <c r="D176" s="141"/>
    </row>
    <row r="177">
      <c r="A177" s="142"/>
      <c r="B177" s="143"/>
      <c r="C177" s="141"/>
      <c r="D177" s="141"/>
    </row>
    <row r="178">
      <c r="A178" s="139"/>
      <c r="B178" s="140"/>
      <c r="C178" s="141"/>
      <c r="D178" s="141"/>
    </row>
    <row r="179">
      <c r="A179" s="142"/>
      <c r="B179" s="143"/>
      <c r="C179" s="141"/>
      <c r="D179" s="141"/>
    </row>
    <row r="180">
      <c r="A180" s="139"/>
      <c r="B180" s="140"/>
      <c r="C180" s="141"/>
      <c r="D180" s="141"/>
    </row>
    <row r="181">
      <c r="A181" s="142"/>
      <c r="B181" s="143"/>
      <c r="C181" s="141"/>
      <c r="D181" s="141"/>
    </row>
    <row r="182">
      <c r="A182" s="139"/>
      <c r="B182" s="140"/>
      <c r="C182" s="141"/>
      <c r="D182" s="141"/>
    </row>
    <row r="183">
      <c r="A183" s="142"/>
      <c r="B183" s="143"/>
      <c r="C183" s="141"/>
      <c r="D183" s="141"/>
    </row>
    <row r="184">
      <c r="A184" s="139"/>
      <c r="B184" s="140"/>
      <c r="C184" s="141"/>
      <c r="D184" s="141"/>
    </row>
    <row r="185">
      <c r="A185" s="142"/>
      <c r="B185" s="143"/>
      <c r="C185" s="141"/>
      <c r="D185" s="141"/>
    </row>
    <row r="186">
      <c r="A186" s="139"/>
      <c r="B186" s="140"/>
      <c r="C186" s="141"/>
      <c r="D186" s="141"/>
    </row>
    <row r="187">
      <c r="A187" s="142"/>
      <c r="B187" s="143"/>
      <c r="C187" s="141"/>
      <c r="D187" s="141"/>
    </row>
    <row r="188">
      <c r="A188" s="139"/>
      <c r="B188" s="140"/>
      <c r="C188" s="141"/>
      <c r="D188" s="141"/>
    </row>
    <row r="189">
      <c r="A189" s="142"/>
      <c r="B189" s="143"/>
      <c r="C189" s="141"/>
      <c r="D189" s="141"/>
    </row>
    <row r="190">
      <c r="A190" s="139"/>
      <c r="B190" s="140"/>
      <c r="C190" s="141"/>
      <c r="D190" s="141"/>
    </row>
    <row r="191">
      <c r="A191" s="142"/>
      <c r="B191" s="143"/>
      <c r="C191" s="141"/>
      <c r="D191" s="141"/>
    </row>
    <row r="192">
      <c r="A192" s="139"/>
      <c r="B192" s="140"/>
      <c r="C192" s="141"/>
      <c r="D192" s="141"/>
    </row>
    <row r="193">
      <c r="A193" s="142"/>
      <c r="B193" s="143"/>
      <c r="C193" s="141"/>
      <c r="D193" s="141"/>
    </row>
    <row r="194">
      <c r="A194" s="139"/>
      <c r="B194" s="140"/>
      <c r="C194" s="141"/>
      <c r="D194" s="141"/>
    </row>
    <row r="195">
      <c r="A195" s="142"/>
      <c r="B195" s="143"/>
      <c r="C195" s="141"/>
      <c r="D195" s="141"/>
    </row>
    <row r="196">
      <c r="A196" s="139"/>
      <c r="B196" s="140"/>
      <c r="C196" s="141"/>
      <c r="D196" s="141"/>
    </row>
    <row r="197">
      <c r="A197" s="142"/>
      <c r="B197" s="143"/>
      <c r="C197" s="141"/>
      <c r="D197" s="141"/>
    </row>
    <row r="198">
      <c r="A198" s="139"/>
      <c r="B198" s="140"/>
      <c r="C198" s="141"/>
      <c r="D198" s="141"/>
    </row>
    <row r="199">
      <c r="A199" s="142"/>
      <c r="B199" s="143"/>
      <c r="C199" s="141"/>
      <c r="D199" s="141"/>
    </row>
    <row r="200">
      <c r="A200" s="139"/>
      <c r="B200" s="140"/>
      <c r="C200" s="141"/>
      <c r="D200" s="141"/>
    </row>
    <row r="201">
      <c r="A201" s="142"/>
      <c r="B201" s="143"/>
      <c r="C201" s="141"/>
      <c r="D201" s="141"/>
    </row>
    <row r="202">
      <c r="A202" s="139"/>
      <c r="B202" s="140"/>
      <c r="C202" s="141"/>
      <c r="D202" s="141"/>
    </row>
    <row r="203">
      <c r="A203" s="142"/>
      <c r="B203" s="143"/>
      <c r="C203" s="141"/>
      <c r="D203" s="141"/>
    </row>
    <row r="204">
      <c r="A204" s="139"/>
      <c r="B204" s="140"/>
      <c r="C204" s="141"/>
      <c r="D204" s="141"/>
    </row>
    <row r="205">
      <c r="A205" s="142"/>
      <c r="B205" s="143"/>
      <c r="C205" s="141"/>
      <c r="D205" s="141"/>
    </row>
    <row r="206">
      <c r="A206" s="139"/>
      <c r="B206" s="140"/>
      <c r="C206" s="141"/>
      <c r="D206" s="141"/>
    </row>
    <row r="207">
      <c r="A207" s="142"/>
      <c r="B207" s="143"/>
      <c r="C207" s="141"/>
      <c r="D207" s="141"/>
    </row>
    <row r="208">
      <c r="A208" s="139"/>
      <c r="B208" s="140"/>
      <c r="C208" s="141"/>
      <c r="D208" s="141"/>
    </row>
    <row r="209">
      <c r="A209" s="142"/>
      <c r="B209" s="143"/>
      <c r="C209" s="141"/>
      <c r="D209" s="141"/>
    </row>
    <row r="210">
      <c r="A210" s="139"/>
      <c r="B210" s="140"/>
      <c r="C210" s="141"/>
      <c r="D210" s="141"/>
    </row>
    <row r="211">
      <c r="A211" s="142"/>
      <c r="B211" s="143"/>
      <c r="C211" s="141"/>
      <c r="D211" s="141"/>
    </row>
    <row r="212">
      <c r="A212" s="139"/>
      <c r="B212" s="140"/>
      <c r="C212" s="141"/>
      <c r="D212" s="141"/>
    </row>
    <row r="213">
      <c r="A213" s="142"/>
      <c r="B213" s="143"/>
      <c r="C213" s="141"/>
      <c r="D213" s="141"/>
    </row>
    <row r="214">
      <c r="A214" s="139"/>
      <c r="B214" s="140"/>
      <c r="C214" s="141"/>
      <c r="D214" s="141"/>
    </row>
    <row r="215">
      <c r="A215" s="142"/>
      <c r="B215" s="143"/>
      <c r="C215" s="141"/>
      <c r="D215" s="141"/>
    </row>
    <row r="216">
      <c r="A216" s="139"/>
      <c r="B216" s="140"/>
      <c r="C216" s="141"/>
      <c r="D216" s="141"/>
    </row>
    <row r="217">
      <c r="A217" s="142"/>
      <c r="B217" s="143"/>
      <c r="C217" s="141"/>
      <c r="D217" s="141"/>
    </row>
    <row r="218">
      <c r="A218" s="139"/>
      <c r="B218" s="140"/>
      <c r="C218" s="141"/>
      <c r="D218" s="141"/>
    </row>
    <row r="219">
      <c r="A219" s="142"/>
      <c r="B219" s="143"/>
      <c r="C219" s="141"/>
      <c r="D219" s="141"/>
    </row>
    <row r="220">
      <c r="A220" s="139"/>
      <c r="B220" s="140"/>
      <c r="C220" s="141"/>
      <c r="D220" s="141"/>
    </row>
    <row r="221">
      <c r="A221" s="142"/>
      <c r="B221" s="143"/>
      <c r="C221" s="141"/>
      <c r="D221" s="141"/>
    </row>
    <row r="222">
      <c r="A222" s="139"/>
      <c r="B222" s="140"/>
      <c r="C222" s="141"/>
      <c r="D222" s="141"/>
    </row>
    <row r="223">
      <c r="A223" s="142"/>
      <c r="B223" s="143"/>
      <c r="C223" s="141"/>
      <c r="D223" s="141"/>
    </row>
    <row r="224">
      <c r="A224" s="139"/>
      <c r="B224" s="140"/>
      <c r="C224" s="141"/>
      <c r="D224" s="141"/>
    </row>
    <row r="225">
      <c r="A225" s="142"/>
      <c r="B225" s="143"/>
      <c r="C225" s="141"/>
      <c r="D225" s="141"/>
    </row>
    <row r="226">
      <c r="A226" s="139"/>
      <c r="B226" s="140"/>
      <c r="C226" s="141"/>
      <c r="D226" s="141"/>
    </row>
    <row r="227">
      <c r="A227" s="142"/>
      <c r="B227" s="143"/>
      <c r="C227" s="141"/>
      <c r="D227" s="141"/>
    </row>
    <row r="228">
      <c r="A228" s="139"/>
      <c r="B228" s="140"/>
      <c r="C228" s="141"/>
      <c r="D228" s="141"/>
    </row>
    <row r="229">
      <c r="A229" s="142"/>
      <c r="B229" s="143"/>
      <c r="C229" s="141"/>
      <c r="D229" s="141"/>
    </row>
    <row r="230">
      <c r="A230" s="139"/>
      <c r="B230" s="140"/>
      <c r="C230" s="141"/>
      <c r="D230" s="141"/>
    </row>
    <row r="231">
      <c r="A231" s="142"/>
      <c r="B231" s="143"/>
      <c r="C231" s="141"/>
      <c r="D231" s="141"/>
    </row>
    <row r="232">
      <c r="A232" s="139"/>
      <c r="B232" s="140"/>
      <c r="C232" s="141"/>
      <c r="D232" s="141"/>
    </row>
    <row r="233">
      <c r="A233" s="142"/>
      <c r="B233" s="143"/>
      <c r="C233" s="141"/>
      <c r="D233" s="141"/>
    </row>
    <row r="234">
      <c r="A234" s="139"/>
      <c r="B234" s="140"/>
      <c r="C234" s="141"/>
      <c r="D234" s="141"/>
    </row>
    <row r="235">
      <c r="A235" s="142"/>
      <c r="B235" s="143"/>
      <c r="C235" s="141"/>
      <c r="D235" s="141"/>
    </row>
    <row r="236">
      <c r="A236" s="139"/>
      <c r="B236" s="140"/>
      <c r="C236" s="141"/>
      <c r="D236" s="141"/>
    </row>
    <row r="237">
      <c r="A237" s="142"/>
      <c r="B237" s="143"/>
      <c r="C237" s="141"/>
      <c r="D237" s="141"/>
    </row>
    <row r="238">
      <c r="A238" s="139"/>
      <c r="B238" s="140"/>
      <c r="C238" s="141"/>
      <c r="D238" s="141"/>
    </row>
    <row r="239">
      <c r="A239" s="142"/>
      <c r="B239" s="143"/>
      <c r="C239" s="141"/>
      <c r="D239" s="141"/>
    </row>
    <row r="240">
      <c r="A240" s="139"/>
      <c r="B240" s="140"/>
      <c r="C240" s="141"/>
      <c r="D240" s="141"/>
    </row>
    <row r="241">
      <c r="A241" s="142"/>
      <c r="B241" s="143"/>
      <c r="C241" s="141"/>
      <c r="D241" s="141"/>
    </row>
    <row r="242">
      <c r="A242" s="139"/>
      <c r="B242" s="140"/>
      <c r="C242" s="141"/>
      <c r="D242" s="141"/>
    </row>
    <row r="243">
      <c r="A243" s="142"/>
      <c r="B243" s="143"/>
      <c r="C243" s="141"/>
      <c r="D243" s="141"/>
    </row>
    <row r="244">
      <c r="A244" s="139"/>
      <c r="B244" s="140"/>
      <c r="C244" s="141"/>
      <c r="D244" s="141"/>
    </row>
    <row r="245">
      <c r="A245" s="142"/>
      <c r="B245" s="143"/>
      <c r="C245" s="141"/>
      <c r="D245" s="141"/>
    </row>
    <row r="246">
      <c r="A246" s="139"/>
      <c r="B246" s="140"/>
      <c r="C246" s="141"/>
      <c r="D246" s="141"/>
    </row>
    <row r="247">
      <c r="A247" s="142"/>
      <c r="B247" s="143"/>
      <c r="C247" s="141"/>
      <c r="D247" s="141"/>
    </row>
    <row r="248">
      <c r="A248" s="139"/>
      <c r="B248" s="140"/>
      <c r="C248" s="141"/>
      <c r="D248" s="141"/>
    </row>
    <row r="249">
      <c r="A249" s="142"/>
      <c r="B249" s="143"/>
      <c r="C249" s="141"/>
      <c r="D249" s="141"/>
    </row>
    <row r="250">
      <c r="A250" s="139"/>
      <c r="B250" s="140"/>
      <c r="C250" s="141"/>
      <c r="D250" s="141"/>
    </row>
    <row r="251">
      <c r="A251" s="142"/>
      <c r="B251" s="143"/>
      <c r="C251" s="141"/>
      <c r="D251" s="141"/>
    </row>
    <row r="252">
      <c r="A252" s="139"/>
      <c r="B252" s="140"/>
      <c r="C252" s="141"/>
      <c r="D252" s="141"/>
    </row>
    <row r="253">
      <c r="A253" s="142"/>
      <c r="B253" s="143"/>
      <c r="C253" s="141"/>
      <c r="D253" s="141"/>
    </row>
    <row r="254">
      <c r="A254" s="139"/>
      <c r="B254" s="140"/>
      <c r="C254" s="141"/>
      <c r="D254" s="141"/>
    </row>
    <row r="255">
      <c r="A255" s="142"/>
      <c r="B255" s="143"/>
      <c r="C255" s="141"/>
      <c r="D255" s="141"/>
    </row>
    <row r="256">
      <c r="A256" s="139"/>
      <c r="B256" s="140"/>
      <c r="C256" s="141"/>
      <c r="D256" s="141"/>
    </row>
    <row r="257">
      <c r="A257" s="142"/>
      <c r="B257" s="143"/>
      <c r="C257" s="141"/>
      <c r="D257" s="141"/>
    </row>
    <row r="258">
      <c r="A258" s="139"/>
      <c r="B258" s="140"/>
      <c r="C258" s="141"/>
      <c r="D258" s="141"/>
    </row>
    <row r="259">
      <c r="A259" s="142"/>
      <c r="B259" s="143"/>
      <c r="C259" s="141"/>
      <c r="D259" s="141"/>
    </row>
    <row r="260">
      <c r="A260" s="139"/>
      <c r="B260" s="140"/>
      <c r="C260" s="141"/>
      <c r="D260" s="141"/>
    </row>
    <row r="261">
      <c r="A261" s="142"/>
      <c r="B261" s="143"/>
      <c r="C261" s="141"/>
      <c r="D261" s="141"/>
    </row>
    <row r="262">
      <c r="A262" s="139"/>
      <c r="B262" s="140"/>
      <c r="C262" s="141"/>
      <c r="D262" s="141"/>
    </row>
    <row r="263">
      <c r="A263" s="142"/>
      <c r="B263" s="143"/>
      <c r="C263" s="141"/>
      <c r="D263" s="141"/>
    </row>
    <row r="264">
      <c r="A264" s="139"/>
      <c r="B264" s="140"/>
      <c r="C264" s="141"/>
      <c r="D264" s="141"/>
    </row>
    <row r="265">
      <c r="A265" s="142"/>
      <c r="B265" s="143"/>
      <c r="C265" s="141"/>
      <c r="D265" s="141"/>
    </row>
    <row r="266">
      <c r="A266" s="139"/>
      <c r="B266" s="140"/>
      <c r="C266" s="141"/>
      <c r="D266" s="141"/>
    </row>
    <row r="267">
      <c r="A267" s="142"/>
      <c r="B267" s="143"/>
      <c r="C267" s="141"/>
      <c r="D267" s="141"/>
    </row>
    <row r="268">
      <c r="A268" s="139"/>
      <c r="B268" s="140"/>
      <c r="C268" s="141"/>
      <c r="D268" s="141"/>
    </row>
    <row r="269">
      <c r="A269" s="142"/>
      <c r="B269" s="143"/>
      <c r="C269" s="141"/>
      <c r="D269" s="141"/>
    </row>
    <row r="270">
      <c r="A270" s="139"/>
      <c r="B270" s="140"/>
      <c r="C270" s="141"/>
      <c r="D270" s="141"/>
    </row>
    <row r="271">
      <c r="A271" s="142"/>
      <c r="B271" s="143"/>
      <c r="C271" s="141"/>
      <c r="D271" s="141"/>
    </row>
    <row r="272">
      <c r="A272" s="139"/>
      <c r="B272" s="140"/>
      <c r="C272" s="141"/>
      <c r="D272" s="141"/>
    </row>
    <row r="273">
      <c r="A273" s="142"/>
      <c r="B273" s="143"/>
      <c r="C273" s="141"/>
      <c r="D273" s="141"/>
    </row>
    <row r="274">
      <c r="A274" s="139"/>
      <c r="B274" s="140"/>
      <c r="C274" s="141"/>
      <c r="D274" s="141"/>
    </row>
    <row r="275">
      <c r="A275" s="142"/>
      <c r="B275" s="143"/>
      <c r="C275" s="141"/>
      <c r="D275" s="141"/>
    </row>
    <row r="276">
      <c r="A276" s="139"/>
      <c r="B276" s="140"/>
      <c r="C276" s="141"/>
      <c r="D276" s="141"/>
    </row>
    <row r="277">
      <c r="A277" s="142"/>
      <c r="B277" s="143"/>
      <c r="C277" s="141"/>
      <c r="D277" s="141"/>
    </row>
    <row r="278">
      <c r="A278" s="139"/>
      <c r="B278" s="140"/>
      <c r="C278" s="141"/>
      <c r="D278" s="141"/>
    </row>
    <row r="279">
      <c r="A279" s="142"/>
      <c r="B279" s="143"/>
      <c r="C279" s="141"/>
      <c r="D279" s="141"/>
    </row>
    <row r="280">
      <c r="A280" s="139"/>
      <c r="B280" s="140"/>
      <c r="C280" s="141"/>
      <c r="D280" s="141"/>
    </row>
    <row r="281">
      <c r="A281" s="142"/>
      <c r="B281" s="143"/>
      <c r="C281" s="141"/>
      <c r="D281" s="141"/>
    </row>
    <row r="282">
      <c r="A282" s="139"/>
      <c r="B282" s="140"/>
      <c r="C282" s="141"/>
      <c r="D282" s="141"/>
    </row>
    <row r="283">
      <c r="A283" s="142"/>
      <c r="B283" s="143"/>
      <c r="C283" s="141"/>
      <c r="D283" s="141"/>
    </row>
    <row r="284">
      <c r="A284" s="139"/>
      <c r="B284" s="140"/>
      <c r="C284" s="141"/>
      <c r="D284" s="141"/>
    </row>
    <row r="285">
      <c r="A285" s="142"/>
      <c r="B285" s="143"/>
      <c r="C285" s="141"/>
      <c r="D285" s="141"/>
    </row>
    <row r="286">
      <c r="A286" s="139"/>
      <c r="B286" s="140"/>
      <c r="C286" s="141"/>
      <c r="D286" s="141"/>
    </row>
    <row r="287">
      <c r="A287" s="142"/>
      <c r="B287" s="143"/>
      <c r="C287" s="141"/>
      <c r="D287" s="141"/>
    </row>
    <row r="288">
      <c r="A288" s="139"/>
      <c r="B288" s="140"/>
      <c r="C288" s="141"/>
      <c r="D288" s="141"/>
    </row>
    <row r="289">
      <c r="A289" s="142"/>
      <c r="B289" s="143"/>
      <c r="C289" s="141"/>
      <c r="D289" s="141"/>
    </row>
    <row r="290">
      <c r="A290" s="139"/>
      <c r="B290" s="140"/>
      <c r="C290" s="141"/>
      <c r="D290" s="141"/>
    </row>
    <row r="291">
      <c r="A291" s="142"/>
      <c r="B291" s="143"/>
      <c r="C291" s="141"/>
      <c r="D291" s="141"/>
    </row>
    <row r="292">
      <c r="A292" s="139"/>
      <c r="B292" s="140"/>
      <c r="C292" s="141"/>
      <c r="D292" s="141"/>
    </row>
    <row r="293">
      <c r="A293" s="142"/>
      <c r="B293" s="143"/>
      <c r="C293" s="141"/>
      <c r="D293" s="141"/>
    </row>
    <row r="294">
      <c r="A294" s="139"/>
      <c r="B294" s="140"/>
      <c r="C294" s="141"/>
      <c r="D294" s="141"/>
    </row>
    <row r="295">
      <c r="A295" s="142"/>
      <c r="B295" s="143"/>
      <c r="C295" s="141"/>
      <c r="D295" s="141"/>
    </row>
    <row r="296">
      <c r="A296" s="139"/>
      <c r="B296" s="140"/>
      <c r="C296" s="141"/>
      <c r="D296" s="141"/>
    </row>
    <row r="297">
      <c r="A297" s="142"/>
      <c r="B297" s="143"/>
      <c r="C297" s="141"/>
      <c r="D297" s="141"/>
    </row>
    <row r="298">
      <c r="A298" s="139"/>
      <c r="B298" s="140"/>
      <c r="C298" s="141"/>
      <c r="D298" s="141"/>
    </row>
    <row r="299">
      <c r="A299" s="142"/>
      <c r="B299" s="143"/>
      <c r="C299" s="141"/>
      <c r="D299" s="141"/>
    </row>
    <row r="300">
      <c r="A300" s="139"/>
      <c r="B300" s="140"/>
      <c r="C300" s="141"/>
      <c r="D300" s="141"/>
    </row>
    <row r="301">
      <c r="A301" s="142"/>
      <c r="B301" s="143"/>
      <c r="C301" s="141"/>
      <c r="D301" s="141"/>
    </row>
    <row r="302">
      <c r="A302" s="139"/>
      <c r="B302" s="140"/>
      <c r="C302" s="141"/>
      <c r="D302" s="141"/>
    </row>
    <row r="303">
      <c r="A303" s="142"/>
      <c r="B303" s="143"/>
      <c r="C303" s="141"/>
      <c r="D303" s="141"/>
    </row>
    <row r="304">
      <c r="A304" s="139"/>
      <c r="B304" s="140"/>
      <c r="C304" s="141"/>
      <c r="D304" s="141"/>
    </row>
    <row r="305">
      <c r="A305" s="142"/>
      <c r="B305" s="143"/>
      <c r="C305" s="141"/>
      <c r="D305" s="141"/>
    </row>
    <row r="306">
      <c r="A306" s="139"/>
      <c r="B306" s="140"/>
      <c r="C306" s="141"/>
      <c r="D306" s="141"/>
    </row>
    <row r="307">
      <c r="A307" s="142"/>
      <c r="B307" s="143"/>
      <c r="C307" s="141"/>
      <c r="D307" s="141"/>
    </row>
    <row r="308">
      <c r="A308" s="139"/>
      <c r="B308" s="140"/>
      <c r="C308" s="141"/>
      <c r="D308" s="141"/>
    </row>
    <row r="309">
      <c r="A309" s="142"/>
      <c r="B309" s="143"/>
      <c r="C309" s="141"/>
      <c r="D309" s="141"/>
    </row>
    <row r="310">
      <c r="A310" s="139"/>
      <c r="B310" s="140"/>
      <c r="C310" s="141"/>
      <c r="D310" s="141"/>
    </row>
    <row r="311">
      <c r="A311" s="142"/>
      <c r="B311" s="143"/>
      <c r="C311" s="141"/>
      <c r="D311" s="141"/>
    </row>
    <row r="312">
      <c r="A312" s="139"/>
      <c r="B312" s="140"/>
      <c r="C312" s="141"/>
      <c r="D312" s="141"/>
    </row>
    <row r="313">
      <c r="A313" s="142"/>
      <c r="B313" s="143"/>
      <c r="C313" s="141"/>
      <c r="D313" s="141"/>
    </row>
    <row r="314">
      <c r="A314" s="139"/>
      <c r="B314" s="140"/>
      <c r="C314" s="141"/>
      <c r="D314" s="141"/>
    </row>
    <row r="315">
      <c r="A315" s="142"/>
      <c r="B315" s="143"/>
      <c r="C315" s="141"/>
      <c r="D315" s="141"/>
    </row>
    <row r="316">
      <c r="A316" s="139"/>
      <c r="B316" s="140"/>
      <c r="C316" s="141"/>
      <c r="D316" s="141"/>
    </row>
    <row r="317">
      <c r="A317" s="142"/>
      <c r="B317" s="143"/>
      <c r="C317" s="141"/>
      <c r="D317" s="141"/>
    </row>
    <row r="318">
      <c r="A318" s="139"/>
      <c r="B318" s="140"/>
      <c r="C318" s="141"/>
      <c r="D318" s="141"/>
    </row>
    <row r="319">
      <c r="A319" s="142"/>
      <c r="B319" s="143"/>
      <c r="C319" s="141"/>
      <c r="D319" s="141"/>
    </row>
    <row r="320">
      <c r="A320" s="139"/>
      <c r="B320" s="140"/>
      <c r="C320" s="141"/>
      <c r="D320" s="141"/>
    </row>
    <row r="321">
      <c r="A321" s="142"/>
      <c r="B321" s="143"/>
      <c r="C321" s="141"/>
      <c r="D321" s="141"/>
    </row>
    <row r="322">
      <c r="A322" s="139"/>
      <c r="B322" s="140"/>
      <c r="C322" s="141"/>
      <c r="D322" s="141"/>
    </row>
    <row r="323">
      <c r="A323" s="142"/>
      <c r="B323" s="143"/>
      <c r="C323" s="141"/>
      <c r="D323" s="141"/>
    </row>
    <row r="324">
      <c r="A324" s="139"/>
      <c r="B324" s="140"/>
      <c r="C324" s="141"/>
      <c r="D324" s="141"/>
    </row>
    <row r="325">
      <c r="A325" s="142"/>
      <c r="B325" s="143"/>
      <c r="C325" s="141"/>
      <c r="D325" s="141"/>
    </row>
    <row r="326">
      <c r="A326" s="139"/>
      <c r="B326" s="140"/>
      <c r="C326" s="141"/>
      <c r="D326" s="141"/>
    </row>
    <row r="327">
      <c r="A327" s="142"/>
      <c r="B327" s="143"/>
      <c r="C327" s="141"/>
      <c r="D327" s="141"/>
    </row>
    <row r="328">
      <c r="A328" s="139"/>
      <c r="B328" s="140"/>
      <c r="C328" s="141"/>
      <c r="D328" s="141"/>
    </row>
    <row r="329">
      <c r="A329" s="142"/>
      <c r="B329" s="143"/>
      <c r="C329" s="141"/>
      <c r="D329" s="141"/>
    </row>
    <row r="330">
      <c r="A330" s="139"/>
      <c r="B330" s="140"/>
      <c r="C330" s="141"/>
      <c r="D330" s="141"/>
    </row>
    <row r="331">
      <c r="A331" s="142"/>
      <c r="B331" s="143"/>
      <c r="C331" s="141"/>
      <c r="D331" s="141"/>
    </row>
    <row r="332">
      <c r="A332" s="139"/>
      <c r="B332" s="140"/>
      <c r="C332" s="141"/>
      <c r="D332" s="141"/>
    </row>
    <row r="333">
      <c r="A333" s="142"/>
      <c r="B333" s="143"/>
      <c r="C333" s="141"/>
      <c r="D333" s="141"/>
    </row>
    <row r="334">
      <c r="A334" s="139"/>
      <c r="B334" s="140"/>
      <c r="C334" s="141"/>
      <c r="D334" s="141"/>
    </row>
    <row r="335">
      <c r="A335" s="142"/>
      <c r="B335" s="143"/>
      <c r="C335" s="141"/>
      <c r="D335" s="141"/>
    </row>
    <row r="336">
      <c r="A336" s="139"/>
      <c r="B336" s="140"/>
      <c r="C336" s="141"/>
      <c r="D336" s="141"/>
    </row>
    <row r="337">
      <c r="A337" s="142"/>
      <c r="B337" s="143"/>
      <c r="C337" s="141"/>
      <c r="D337" s="141"/>
    </row>
    <row r="338">
      <c r="A338" s="139"/>
      <c r="B338" s="140"/>
      <c r="C338" s="141"/>
      <c r="D338" s="141"/>
    </row>
    <row r="339">
      <c r="A339" s="142"/>
      <c r="B339" s="143"/>
      <c r="C339" s="141"/>
      <c r="D339" s="141"/>
    </row>
    <row r="340">
      <c r="A340" s="139"/>
      <c r="B340" s="140"/>
      <c r="C340" s="141"/>
      <c r="D340" s="141"/>
    </row>
    <row r="341">
      <c r="A341" s="142"/>
      <c r="B341" s="143"/>
      <c r="C341" s="141"/>
      <c r="D341" s="141"/>
    </row>
    <row r="342">
      <c r="A342" s="139"/>
      <c r="B342" s="140"/>
      <c r="C342" s="141"/>
      <c r="D342" s="141"/>
    </row>
    <row r="343">
      <c r="A343" s="142"/>
      <c r="B343" s="143"/>
      <c r="C343" s="141"/>
      <c r="D343" s="141"/>
    </row>
    <row r="344">
      <c r="A344" s="139"/>
      <c r="B344" s="140"/>
      <c r="C344" s="141"/>
      <c r="D344" s="141"/>
    </row>
    <row r="345">
      <c r="A345" s="142"/>
      <c r="B345" s="143"/>
      <c r="C345" s="141"/>
      <c r="D345" s="141"/>
    </row>
    <row r="346">
      <c r="A346" s="139"/>
      <c r="B346" s="140"/>
      <c r="C346" s="141"/>
      <c r="D346" s="141"/>
    </row>
    <row r="347">
      <c r="A347" s="142"/>
      <c r="B347" s="143"/>
      <c r="C347" s="141"/>
      <c r="D347" s="141"/>
    </row>
    <row r="348">
      <c r="A348" s="139"/>
      <c r="B348" s="140"/>
      <c r="C348" s="141"/>
      <c r="D348" s="141"/>
    </row>
    <row r="349">
      <c r="A349" s="142"/>
      <c r="B349" s="143"/>
      <c r="C349" s="141"/>
      <c r="D349" s="141"/>
    </row>
    <row r="350">
      <c r="A350" s="139"/>
      <c r="B350" s="140"/>
      <c r="C350" s="141"/>
      <c r="D350" s="141"/>
    </row>
    <row r="351">
      <c r="A351" s="142"/>
      <c r="B351" s="143"/>
      <c r="C351" s="141"/>
      <c r="D351" s="141"/>
    </row>
    <row r="352">
      <c r="A352" s="139"/>
      <c r="B352" s="140"/>
      <c r="C352" s="141"/>
      <c r="D352" s="141"/>
    </row>
    <row r="353">
      <c r="A353" s="142"/>
      <c r="B353" s="143"/>
      <c r="C353" s="141"/>
      <c r="D353" s="141"/>
    </row>
    <row r="354">
      <c r="A354" s="139"/>
      <c r="B354" s="140"/>
      <c r="C354" s="141"/>
      <c r="D354" s="141"/>
    </row>
    <row r="355">
      <c r="A355" s="142"/>
      <c r="B355" s="143"/>
      <c r="C355" s="141"/>
      <c r="D355" s="141"/>
    </row>
    <row r="356">
      <c r="A356" s="139"/>
      <c r="B356" s="140"/>
      <c r="C356" s="141"/>
      <c r="D356" s="141"/>
    </row>
    <row r="357">
      <c r="A357" s="142"/>
      <c r="B357" s="143"/>
      <c r="C357" s="141"/>
      <c r="D357" s="141"/>
    </row>
    <row r="358">
      <c r="A358" s="139"/>
      <c r="B358" s="140"/>
      <c r="C358" s="141"/>
      <c r="D358" s="141"/>
    </row>
    <row r="359">
      <c r="A359" s="142"/>
      <c r="B359" s="143"/>
      <c r="C359" s="141"/>
      <c r="D359" s="141"/>
    </row>
    <row r="360">
      <c r="A360" s="139"/>
      <c r="B360" s="140"/>
      <c r="C360" s="141"/>
      <c r="D360" s="141"/>
    </row>
    <row r="361">
      <c r="A361" s="142"/>
      <c r="B361" s="143"/>
      <c r="C361" s="141"/>
      <c r="D361" s="141"/>
    </row>
    <row r="362">
      <c r="A362" s="139"/>
      <c r="B362" s="140"/>
      <c r="C362" s="141"/>
      <c r="D362" s="141"/>
    </row>
    <row r="363">
      <c r="A363" s="142"/>
      <c r="B363" s="143"/>
      <c r="C363" s="141"/>
      <c r="D363" s="141"/>
    </row>
    <row r="364">
      <c r="A364" s="139"/>
      <c r="B364" s="140"/>
      <c r="C364" s="141"/>
      <c r="D364" s="141"/>
    </row>
    <row r="365">
      <c r="A365" s="142"/>
      <c r="B365" s="143"/>
      <c r="C365" s="141"/>
      <c r="D365" s="141"/>
    </row>
    <row r="366">
      <c r="A366" s="139"/>
      <c r="B366" s="140"/>
      <c r="C366" s="141"/>
      <c r="D366" s="141"/>
    </row>
    <row r="367">
      <c r="A367" s="142"/>
      <c r="B367" s="143"/>
      <c r="C367" s="141"/>
      <c r="D367" s="141"/>
    </row>
    <row r="368">
      <c r="A368" s="139"/>
      <c r="B368" s="140"/>
      <c r="C368" s="141"/>
      <c r="D368" s="141"/>
    </row>
    <row r="369">
      <c r="A369" s="142"/>
      <c r="B369" s="143"/>
      <c r="C369" s="141"/>
      <c r="D369" s="141"/>
    </row>
    <row r="370">
      <c r="A370" s="139"/>
      <c r="B370" s="140"/>
      <c r="C370" s="141"/>
      <c r="D370" s="141"/>
    </row>
    <row r="371">
      <c r="A371" s="142"/>
      <c r="B371" s="143"/>
      <c r="C371" s="141"/>
      <c r="D371" s="141"/>
    </row>
    <row r="372">
      <c r="A372" s="139"/>
      <c r="B372" s="140"/>
      <c r="C372" s="141"/>
      <c r="D372" s="141"/>
    </row>
    <row r="373">
      <c r="A373" s="142"/>
      <c r="B373" s="143"/>
      <c r="C373" s="141"/>
      <c r="D373" s="141"/>
    </row>
    <row r="374">
      <c r="A374" s="139"/>
      <c r="B374" s="140"/>
      <c r="C374" s="141"/>
      <c r="D374" s="141"/>
    </row>
    <row r="375">
      <c r="A375" s="142"/>
      <c r="B375" s="143"/>
      <c r="C375" s="141"/>
      <c r="D375" s="141"/>
    </row>
    <row r="376">
      <c r="A376" s="139"/>
      <c r="B376" s="140"/>
      <c r="C376" s="141"/>
      <c r="D376" s="141"/>
    </row>
    <row r="377">
      <c r="A377" s="142"/>
      <c r="B377" s="143"/>
      <c r="C377" s="141"/>
      <c r="D377" s="141"/>
    </row>
    <row r="378">
      <c r="A378" s="139"/>
      <c r="B378" s="140"/>
      <c r="C378" s="141"/>
      <c r="D378" s="141"/>
    </row>
    <row r="379">
      <c r="A379" s="142"/>
      <c r="B379" s="143"/>
      <c r="C379" s="141"/>
      <c r="D379" s="141"/>
    </row>
    <row r="380">
      <c r="A380" s="139"/>
      <c r="B380" s="140"/>
      <c r="C380" s="141"/>
      <c r="D380" s="141"/>
    </row>
    <row r="381">
      <c r="A381" s="142"/>
      <c r="B381" s="143"/>
      <c r="C381" s="141"/>
      <c r="D381" s="141"/>
    </row>
    <row r="382">
      <c r="A382" s="139"/>
      <c r="B382" s="140"/>
      <c r="C382" s="141"/>
      <c r="D382" s="141"/>
    </row>
    <row r="383">
      <c r="A383" s="142"/>
      <c r="B383" s="143"/>
      <c r="C383" s="141"/>
      <c r="D383" s="141"/>
    </row>
    <row r="384">
      <c r="A384" s="139"/>
      <c r="B384" s="140"/>
      <c r="C384" s="141"/>
      <c r="D384" s="141"/>
    </row>
    <row r="385">
      <c r="A385" s="142"/>
      <c r="B385" s="143"/>
      <c r="C385" s="141"/>
      <c r="D385" s="141"/>
    </row>
    <row r="386">
      <c r="A386" s="139"/>
      <c r="B386" s="140"/>
      <c r="C386" s="141"/>
      <c r="D386" s="141"/>
    </row>
    <row r="387">
      <c r="A387" s="142"/>
      <c r="B387" s="143"/>
      <c r="C387" s="141"/>
      <c r="D387" s="141"/>
    </row>
    <row r="388">
      <c r="A388" s="139"/>
      <c r="B388" s="140"/>
      <c r="C388" s="141"/>
      <c r="D388" s="141"/>
    </row>
    <row r="389">
      <c r="A389" s="142"/>
      <c r="B389" s="143"/>
      <c r="C389" s="141"/>
      <c r="D389" s="141"/>
    </row>
    <row r="390">
      <c r="A390" s="139"/>
      <c r="B390" s="140"/>
      <c r="C390" s="141"/>
      <c r="D390" s="141"/>
    </row>
    <row r="391">
      <c r="A391" s="142"/>
      <c r="B391" s="143"/>
      <c r="C391" s="141"/>
      <c r="D391" s="141"/>
    </row>
    <row r="392">
      <c r="A392" s="139"/>
      <c r="B392" s="140"/>
      <c r="C392" s="141"/>
      <c r="D392" s="141"/>
    </row>
    <row r="393">
      <c r="A393" s="142"/>
      <c r="B393" s="143"/>
      <c r="C393" s="141"/>
      <c r="D393" s="141"/>
    </row>
    <row r="394">
      <c r="A394" s="139"/>
      <c r="B394" s="140"/>
      <c r="C394" s="141"/>
      <c r="D394" s="141"/>
    </row>
    <row r="395">
      <c r="A395" s="142"/>
      <c r="B395" s="143"/>
      <c r="C395" s="141"/>
      <c r="D395" s="141"/>
    </row>
    <row r="396">
      <c r="A396" s="139"/>
      <c r="B396" s="140"/>
      <c r="C396" s="141"/>
      <c r="D396" s="141"/>
    </row>
    <row r="397">
      <c r="A397" s="142"/>
      <c r="B397" s="143"/>
      <c r="C397" s="141"/>
      <c r="D397" s="141"/>
    </row>
    <row r="398">
      <c r="A398" s="139"/>
      <c r="B398" s="140"/>
      <c r="C398" s="141"/>
      <c r="D398" s="141"/>
    </row>
    <row r="399">
      <c r="A399" s="142"/>
      <c r="B399" s="143"/>
      <c r="C399" s="141"/>
      <c r="D399" s="141"/>
    </row>
    <row r="400">
      <c r="A400" s="139"/>
      <c r="B400" s="140"/>
      <c r="C400" s="141"/>
      <c r="D400" s="141"/>
    </row>
    <row r="401">
      <c r="A401" s="142"/>
      <c r="B401" s="143"/>
      <c r="C401" s="141"/>
      <c r="D401" s="141"/>
    </row>
    <row r="402">
      <c r="A402" s="139"/>
      <c r="B402" s="140"/>
      <c r="C402" s="141"/>
      <c r="D402" s="141"/>
    </row>
    <row r="403">
      <c r="A403" s="142"/>
      <c r="B403" s="143"/>
      <c r="C403" s="141"/>
      <c r="D403" s="141"/>
    </row>
    <row r="404">
      <c r="A404" s="139"/>
      <c r="B404" s="140"/>
      <c r="C404" s="141"/>
      <c r="D404" s="141"/>
    </row>
    <row r="405">
      <c r="A405" s="142"/>
      <c r="B405" s="143"/>
      <c r="C405" s="141"/>
      <c r="D405" s="141"/>
    </row>
    <row r="406">
      <c r="A406" s="139"/>
      <c r="B406" s="140"/>
      <c r="C406" s="141"/>
      <c r="D406" s="141"/>
    </row>
    <row r="407">
      <c r="A407" s="142"/>
      <c r="B407" s="143"/>
      <c r="C407" s="141"/>
      <c r="D407" s="141"/>
    </row>
    <row r="408">
      <c r="A408" s="139"/>
      <c r="B408" s="140"/>
      <c r="C408" s="141"/>
      <c r="D408" s="141"/>
    </row>
    <row r="409">
      <c r="A409" s="142"/>
      <c r="B409" s="143"/>
      <c r="C409" s="141"/>
      <c r="D409" s="141"/>
    </row>
    <row r="410">
      <c r="A410" s="139"/>
      <c r="B410" s="140"/>
      <c r="C410" s="141"/>
      <c r="D410" s="141"/>
    </row>
    <row r="411">
      <c r="A411" s="142"/>
      <c r="B411" s="143"/>
      <c r="C411" s="141"/>
      <c r="D411" s="141"/>
    </row>
    <row r="412">
      <c r="A412" s="139"/>
      <c r="B412" s="140"/>
      <c r="C412" s="141"/>
      <c r="D412" s="141"/>
    </row>
    <row r="413">
      <c r="A413" s="142"/>
      <c r="B413" s="143"/>
      <c r="C413" s="141"/>
      <c r="D413" s="141"/>
    </row>
    <row r="414">
      <c r="A414" s="139"/>
      <c r="B414" s="140"/>
      <c r="C414" s="141"/>
      <c r="D414" s="141"/>
    </row>
    <row r="415">
      <c r="A415" s="142"/>
      <c r="B415" s="143"/>
      <c r="C415" s="141"/>
      <c r="D415" s="141"/>
    </row>
    <row r="416">
      <c r="A416" s="139"/>
      <c r="B416" s="140"/>
      <c r="C416" s="141"/>
      <c r="D416" s="141"/>
    </row>
    <row r="417">
      <c r="A417" s="142"/>
      <c r="B417" s="143"/>
      <c r="C417" s="141"/>
      <c r="D417" s="141"/>
    </row>
    <row r="418">
      <c r="A418" s="139"/>
      <c r="B418" s="140"/>
      <c r="C418" s="141"/>
      <c r="D418" s="141"/>
    </row>
    <row r="419">
      <c r="A419" s="142"/>
      <c r="B419" s="143"/>
      <c r="C419" s="141"/>
      <c r="D419" s="141"/>
    </row>
    <row r="420">
      <c r="A420" s="139"/>
      <c r="B420" s="140"/>
      <c r="C420" s="141"/>
      <c r="D420" s="141"/>
    </row>
    <row r="421">
      <c r="A421" s="142"/>
      <c r="B421" s="143"/>
      <c r="C421" s="141"/>
      <c r="D421" s="141"/>
    </row>
    <row r="422">
      <c r="A422" s="139"/>
      <c r="B422" s="140"/>
      <c r="C422" s="141"/>
      <c r="D422" s="141"/>
    </row>
    <row r="423">
      <c r="A423" s="142"/>
      <c r="B423" s="143"/>
      <c r="C423" s="141"/>
      <c r="D423" s="141"/>
    </row>
    <row r="424">
      <c r="A424" s="139"/>
      <c r="B424" s="140"/>
      <c r="C424" s="141"/>
      <c r="D424" s="141"/>
    </row>
    <row r="425">
      <c r="A425" s="142"/>
      <c r="B425" s="143"/>
      <c r="C425" s="141"/>
      <c r="D425" s="141"/>
    </row>
    <row r="426">
      <c r="A426" s="139"/>
      <c r="B426" s="140"/>
      <c r="C426" s="141"/>
      <c r="D426" s="141"/>
    </row>
    <row r="427">
      <c r="A427" s="142"/>
      <c r="B427" s="143"/>
      <c r="C427" s="141"/>
      <c r="D427" s="141"/>
    </row>
    <row r="428">
      <c r="A428" s="139"/>
      <c r="B428" s="140"/>
      <c r="C428" s="141"/>
      <c r="D428" s="141"/>
    </row>
    <row r="429">
      <c r="A429" s="142"/>
      <c r="B429" s="143"/>
      <c r="C429" s="141"/>
      <c r="D429" s="141"/>
    </row>
    <row r="430">
      <c r="A430" s="139"/>
      <c r="B430" s="140"/>
      <c r="C430" s="141"/>
      <c r="D430" s="141"/>
    </row>
    <row r="431">
      <c r="A431" s="142"/>
      <c r="B431" s="143"/>
      <c r="C431" s="141"/>
      <c r="D431" s="141"/>
    </row>
    <row r="432">
      <c r="A432" s="139"/>
      <c r="B432" s="140"/>
      <c r="C432" s="141"/>
      <c r="D432" s="141"/>
    </row>
    <row r="433">
      <c r="A433" s="142"/>
      <c r="B433" s="143"/>
      <c r="C433" s="141"/>
      <c r="D433" s="141"/>
    </row>
    <row r="434">
      <c r="A434" s="139"/>
      <c r="B434" s="140"/>
      <c r="C434" s="141"/>
      <c r="D434" s="141"/>
    </row>
    <row r="435">
      <c r="A435" s="142"/>
      <c r="B435" s="143"/>
      <c r="C435" s="141"/>
      <c r="D435" s="141"/>
    </row>
    <row r="436">
      <c r="A436" s="139"/>
      <c r="B436" s="140"/>
      <c r="C436" s="141"/>
      <c r="D436" s="141"/>
    </row>
    <row r="437">
      <c r="A437" s="142"/>
      <c r="B437" s="143"/>
      <c r="C437" s="141"/>
      <c r="D437" s="141"/>
    </row>
    <row r="438">
      <c r="A438" s="139"/>
      <c r="B438" s="140"/>
      <c r="C438" s="141"/>
      <c r="D438" s="141"/>
    </row>
    <row r="439">
      <c r="A439" s="142"/>
      <c r="B439" s="143"/>
      <c r="C439" s="141"/>
      <c r="D439" s="141"/>
    </row>
    <row r="440">
      <c r="A440" s="139"/>
      <c r="B440" s="140"/>
      <c r="C440" s="141"/>
      <c r="D440" s="141"/>
    </row>
    <row r="441">
      <c r="A441" s="142"/>
      <c r="B441" s="143"/>
      <c r="C441" s="141"/>
      <c r="D441" s="141"/>
    </row>
    <row r="442">
      <c r="A442" s="139"/>
      <c r="B442" s="140"/>
      <c r="C442" s="141"/>
      <c r="D442" s="141"/>
    </row>
    <row r="443">
      <c r="A443" s="142"/>
      <c r="B443" s="143"/>
      <c r="C443" s="141"/>
      <c r="D443" s="141"/>
    </row>
    <row r="444">
      <c r="A444" s="139"/>
      <c r="B444" s="140"/>
      <c r="C444" s="141"/>
      <c r="D444" s="141"/>
    </row>
    <row r="445">
      <c r="A445" s="142"/>
      <c r="B445" s="143"/>
      <c r="C445" s="141"/>
      <c r="D445" s="141"/>
    </row>
    <row r="446">
      <c r="A446" s="139"/>
      <c r="B446" s="140"/>
      <c r="C446" s="141"/>
      <c r="D446" s="141"/>
    </row>
    <row r="447">
      <c r="A447" s="142"/>
      <c r="B447" s="143"/>
      <c r="C447" s="141"/>
      <c r="D447" s="141"/>
    </row>
    <row r="448">
      <c r="A448" s="139"/>
      <c r="B448" s="140"/>
      <c r="C448" s="141"/>
      <c r="D448" s="141"/>
    </row>
    <row r="449">
      <c r="A449" s="142"/>
      <c r="B449" s="143"/>
      <c r="C449" s="141"/>
      <c r="D449" s="141"/>
    </row>
    <row r="450">
      <c r="A450" s="139"/>
      <c r="B450" s="140"/>
      <c r="C450" s="141"/>
      <c r="D450" s="141"/>
    </row>
    <row r="451">
      <c r="A451" s="142"/>
      <c r="B451" s="143"/>
      <c r="C451" s="141"/>
      <c r="D451" s="141"/>
    </row>
    <row r="452">
      <c r="A452" s="139"/>
      <c r="B452" s="140"/>
      <c r="C452" s="141"/>
      <c r="D452" s="141"/>
    </row>
    <row r="453">
      <c r="A453" s="142"/>
      <c r="B453" s="143"/>
      <c r="C453" s="141"/>
      <c r="D453" s="141"/>
    </row>
    <row r="454">
      <c r="A454" s="139"/>
      <c r="B454" s="140"/>
      <c r="C454" s="141"/>
      <c r="D454" s="141"/>
    </row>
    <row r="455">
      <c r="A455" s="142"/>
      <c r="B455" s="143"/>
      <c r="C455" s="141"/>
      <c r="D455" s="141"/>
    </row>
    <row r="456">
      <c r="A456" s="139"/>
      <c r="B456" s="140"/>
      <c r="C456" s="141"/>
      <c r="D456" s="141"/>
    </row>
    <row r="457">
      <c r="A457" s="142"/>
      <c r="B457" s="143"/>
      <c r="C457" s="141"/>
      <c r="D457" s="141"/>
    </row>
    <row r="458">
      <c r="A458" s="139"/>
      <c r="B458" s="140"/>
      <c r="C458" s="141"/>
      <c r="D458" s="141"/>
    </row>
    <row r="459">
      <c r="A459" s="142"/>
      <c r="B459" s="143"/>
      <c r="C459" s="141"/>
      <c r="D459" s="141"/>
    </row>
    <row r="460">
      <c r="A460" s="139"/>
      <c r="B460" s="140"/>
      <c r="C460" s="141"/>
      <c r="D460" s="141"/>
    </row>
    <row r="461">
      <c r="A461" s="142"/>
      <c r="B461" s="143"/>
      <c r="C461" s="141"/>
      <c r="D461" s="141"/>
    </row>
    <row r="462">
      <c r="A462" s="139"/>
      <c r="B462" s="140"/>
      <c r="C462" s="141"/>
      <c r="D462" s="141"/>
    </row>
    <row r="463">
      <c r="A463" s="142"/>
      <c r="B463" s="143"/>
      <c r="C463" s="141"/>
      <c r="D463" s="141"/>
    </row>
    <row r="464">
      <c r="A464" s="139"/>
      <c r="B464" s="140"/>
      <c r="C464" s="141"/>
      <c r="D464" s="141"/>
    </row>
    <row r="465">
      <c r="A465" s="142"/>
      <c r="B465" s="143"/>
      <c r="C465" s="141"/>
      <c r="D465" s="141"/>
    </row>
    <row r="466">
      <c r="A466" s="139"/>
      <c r="B466" s="140"/>
      <c r="C466" s="141"/>
      <c r="D466" s="141"/>
    </row>
    <row r="467">
      <c r="A467" s="142"/>
      <c r="B467" s="143"/>
      <c r="C467" s="141"/>
      <c r="D467" s="141"/>
    </row>
    <row r="468">
      <c r="A468" s="139"/>
      <c r="B468" s="140"/>
      <c r="C468" s="141"/>
      <c r="D468" s="141"/>
    </row>
    <row r="469">
      <c r="A469" s="142"/>
      <c r="B469" s="143"/>
      <c r="C469" s="141"/>
      <c r="D469" s="141"/>
    </row>
    <row r="470">
      <c r="A470" s="139"/>
      <c r="B470" s="140"/>
      <c r="C470" s="141"/>
      <c r="D470" s="141"/>
    </row>
    <row r="471">
      <c r="A471" s="142"/>
      <c r="B471" s="143"/>
      <c r="C471" s="141"/>
      <c r="D471" s="141"/>
    </row>
    <row r="472">
      <c r="A472" s="139"/>
      <c r="B472" s="140"/>
      <c r="C472" s="141"/>
      <c r="D472" s="141"/>
    </row>
    <row r="473">
      <c r="A473" s="142"/>
      <c r="B473" s="143"/>
      <c r="C473" s="141"/>
      <c r="D473" s="141"/>
    </row>
    <row r="474">
      <c r="A474" s="139"/>
      <c r="B474" s="140"/>
      <c r="C474" s="141"/>
      <c r="D474" s="141"/>
    </row>
    <row r="475">
      <c r="A475" s="142"/>
      <c r="B475" s="143"/>
      <c r="C475" s="141"/>
      <c r="D475" s="141"/>
    </row>
    <row r="476">
      <c r="A476" s="139"/>
      <c r="B476" s="140"/>
      <c r="C476" s="141"/>
      <c r="D476" s="141"/>
    </row>
    <row r="477">
      <c r="A477" s="142"/>
      <c r="B477" s="143"/>
      <c r="C477" s="141"/>
      <c r="D477" s="141"/>
    </row>
    <row r="478">
      <c r="A478" s="139"/>
      <c r="B478" s="140"/>
      <c r="C478" s="141"/>
      <c r="D478" s="141"/>
    </row>
    <row r="479">
      <c r="A479" s="142"/>
      <c r="B479" s="143"/>
      <c r="C479" s="141"/>
      <c r="D479" s="141"/>
    </row>
    <row r="480">
      <c r="A480" s="139"/>
      <c r="B480" s="140"/>
      <c r="C480" s="141"/>
      <c r="D480" s="141"/>
    </row>
    <row r="481">
      <c r="A481" s="142"/>
      <c r="B481" s="143"/>
      <c r="C481" s="141"/>
      <c r="D481" s="141"/>
    </row>
    <row r="482">
      <c r="A482" s="139"/>
      <c r="B482" s="140"/>
      <c r="C482" s="141"/>
      <c r="D482" s="141"/>
    </row>
    <row r="483">
      <c r="A483" s="142"/>
      <c r="B483" s="143"/>
      <c r="C483" s="141"/>
      <c r="D483" s="141"/>
    </row>
    <row r="484">
      <c r="A484" s="139"/>
      <c r="B484" s="140"/>
      <c r="C484" s="141"/>
      <c r="D484" s="141"/>
    </row>
    <row r="485">
      <c r="A485" s="142"/>
      <c r="B485" s="143"/>
      <c r="C485" s="141"/>
      <c r="D485" s="141"/>
    </row>
    <row r="486">
      <c r="A486" s="139"/>
      <c r="B486" s="140"/>
      <c r="C486" s="141"/>
      <c r="D486" s="141"/>
    </row>
    <row r="487">
      <c r="A487" s="142"/>
      <c r="B487" s="143"/>
      <c r="C487" s="141"/>
      <c r="D487" s="141"/>
    </row>
    <row r="488">
      <c r="A488" s="139"/>
      <c r="B488" s="140"/>
      <c r="C488" s="141"/>
      <c r="D488" s="141"/>
    </row>
    <row r="489">
      <c r="A489" s="142"/>
      <c r="B489" s="143"/>
      <c r="C489" s="141"/>
      <c r="D489" s="141"/>
    </row>
    <row r="490">
      <c r="A490" s="139"/>
      <c r="B490" s="140"/>
      <c r="C490" s="141"/>
      <c r="D490" s="141"/>
    </row>
    <row r="491">
      <c r="A491" s="142"/>
      <c r="B491" s="143"/>
      <c r="C491" s="141"/>
      <c r="D491" s="141"/>
    </row>
    <row r="492">
      <c r="A492" s="139"/>
      <c r="B492" s="140"/>
      <c r="C492" s="141"/>
      <c r="D492" s="141"/>
    </row>
    <row r="493">
      <c r="A493" s="142"/>
      <c r="B493" s="143"/>
      <c r="C493" s="141"/>
      <c r="D493" s="141"/>
    </row>
    <row r="494">
      <c r="A494" s="139"/>
      <c r="B494" s="140"/>
      <c r="C494" s="141"/>
      <c r="D494" s="141"/>
    </row>
    <row r="495">
      <c r="A495" s="142"/>
      <c r="B495" s="143"/>
      <c r="C495" s="141"/>
      <c r="D495" s="141"/>
    </row>
    <row r="496">
      <c r="A496" s="139"/>
      <c r="B496" s="140"/>
      <c r="C496" s="141"/>
      <c r="D496" s="141"/>
    </row>
    <row r="497">
      <c r="A497" s="142"/>
      <c r="B497" s="143"/>
      <c r="C497" s="141"/>
      <c r="D497" s="141"/>
    </row>
    <row r="498">
      <c r="A498" s="139"/>
      <c r="B498" s="140"/>
      <c r="C498" s="141"/>
      <c r="D498" s="141"/>
    </row>
    <row r="499">
      <c r="A499" s="142"/>
      <c r="B499" s="143"/>
      <c r="C499" s="141"/>
      <c r="D499" s="141"/>
    </row>
    <row r="500">
      <c r="A500" s="139"/>
      <c r="B500" s="140"/>
      <c r="C500" s="141"/>
      <c r="D500" s="141"/>
    </row>
    <row r="501">
      <c r="A501" s="142"/>
      <c r="B501" s="143"/>
      <c r="C501" s="141"/>
      <c r="D501" s="141"/>
    </row>
    <row r="502">
      <c r="A502" s="139"/>
      <c r="B502" s="140"/>
      <c r="C502" s="141"/>
      <c r="D502" s="141"/>
    </row>
    <row r="503">
      <c r="A503" s="142"/>
      <c r="B503" s="143"/>
      <c r="C503" s="141"/>
      <c r="D503" s="141"/>
    </row>
    <row r="504">
      <c r="A504" s="139"/>
      <c r="B504" s="140"/>
      <c r="C504" s="141"/>
      <c r="D504" s="141"/>
    </row>
    <row r="505">
      <c r="A505" s="142"/>
      <c r="B505" s="143"/>
      <c r="C505" s="141"/>
      <c r="D505" s="141"/>
    </row>
    <row r="506">
      <c r="A506" s="139"/>
      <c r="B506" s="140"/>
      <c r="C506" s="141"/>
      <c r="D506" s="141"/>
    </row>
    <row r="507">
      <c r="A507" s="142"/>
      <c r="B507" s="143"/>
      <c r="C507" s="141"/>
      <c r="D507" s="141"/>
    </row>
    <row r="508">
      <c r="A508" s="139"/>
      <c r="B508" s="140"/>
      <c r="C508" s="141"/>
      <c r="D508" s="141"/>
    </row>
    <row r="509">
      <c r="A509" s="142"/>
      <c r="B509" s="143"/>
      <c r="C509" s="141"/>
      <c r="D509" s="141"/>
    </row>
    <row r="510">
      <c r="A510" s="139"/>
      <c r="B510" s="140"/>
      <c r="C510" s="141"/>
      <c r="D510" s="141"/>
    </row>
    <row r="511">
      <c r="A511" s="142"/>
      <c r="B511" s="143"/>
      <c r="C511" s="141"/>
      <c r="D511" s="141"/>
    </row>
    <row r="512">
      <c r="A512" s="139"/>
      <c r="B512" s="140"/>
      <c r="C512" s="141"/>
      <c r="D512" s="141"/>
    </row>
    <row r="513">
      <c r="A513" s="142"/>
      <c r="B513" s="143"/>
      <c r="C513" s="141"/>
      <c r="D513" s="141"/>
    </row>
    <row r="514">
      <c r="A514" s="139"/>
      <c r="B514" s="140"/>
      <c r="C514" s="141"/>
      <c r="D514" s="141"/>
    </row>
    <row r="515">
      <c r="A515" s="142"/>
      <c r="B515" s="143"/>
      <c r="C515" s="141"/>
      <c r="D515" s="141"/>
    </row>
    <row r="516">
      <c r="A516" s="139"/>
      <c r="B516" s="140"/>
      <c r="C516" s="141"/>
      <c r="D516" s="141"/>
    </row>
    <row r="517">
      <c r="A517" s="142"/>
      <c r="B517" s="143"/>
      <c r="C517" s="141"/>
      <c r="D517" s="141"/>
    </row>
    <row r="518">
      <c r="A518" s="139"/>
      <c r="B518" s="140"/>
      <c r="C518" s="141"/>
      <c r="D518" s="141"/>
    </row>
    <row r="519">
      <c r="A519" s="142"/>
      <c r="B519" s="143"/>
      <c r="C519" s="141"/>
      <c r="D519" s="141"/>
    </row>
    <row r="520">
      <c r="A520" s="139"/>
      <c r="B520" s="140"/>
      <c r="C520" s="141"/>
      <c r="D520" s="141"/>
    </row>
    <row r="521">
      <c r="A521" s="142"/>
      <c r="B521" s="143"/>
      <c r="C521" s="141"/>
      <c r="D521" s="141"/>
    </row>
    <row r="522">
      <c r="A522" s="139"/>
      <c r="B522" s="140"/>
      <c r="C522" s="141"/>
      <c r="D522" s="141"/>
    </row>
    <row r="523">
      <c r="A523" s="142"/>
      <c r="B523" s="143"/>
      <c r="C523" s="141"/>
      <c r="D523" s="141"/>
    </row>
    <row r="524">
      <c r="A524" s="139"/>
      <c r="B524" s="140"/>
      <c r="C524" s="141"/>
      <c r="D524" s="141"/>
    </row>
    <row r="525">
      <c r="A525" s="142"/>
      <c r="B525" s="143"/>
      <c r="C525" s="141"/>
      <c r="D525" s="141"/>
    </row>
    <row r="526">
      <c r="A526" s="139"/>
      <c r="B526" s="140"/>
      <c r="C526" s="141"/>
      <c r="D526" s="141"/>
    </row>
    <row r="527">
      <c r="A527" s="142"/>
      <c r="B527" s="143"/>
      <c r="C527" s="141"/>
      <c r="D527" s="141"/>
    </row>
    <row r="528">
      <c r="A528" s="139"/>
      <c r="B528" s="140"/>
      <c r="C528" s="141"/>
      <c r="D528" s="141"/>
    </row>
    <row r="529">
      <c r="A529" s="142"/>
      <c r="B529" s="143"/>
      <c r="C529" s="141"/>
      <c r="D529" s="141"/>
    </row>
    <row r="530">
      <c r="A530" s="139"/>
      <c r="B530" s="140"/>
      <c r="C530" s="141"/>
      <c r="D530" s="141"/>
    </row>
    <row r="531">
      <c r="A531" s="142"/>
      <c r="B531" s="143"/>
      <c r="C531" s="141"/>
      <c r="D531" s="141"/>
    </row>
    <row r="532">
      <c r="A532" s="139"/>
      <c r="B532" s="140"/>
      <c r="C532" s="141"/>
      <c r="D532" s="141"/>
    </row>
    <row r="533">
      <c r="A533" s="142"/>
      <c r="B533" s="143"/>
      <c r="C533" s="141"/>
      <c r="D533" s="141"/>
    </row>
    <row r="534">
      <c r="A534" s="139"/>
      <c r="B534" s="140"/>
      <c r="C534" s="141"/>
      <c r="D534" s="141"/>
    </row>
    <row r="535">
      <c r="A535" s="142"/>
      <c r="B535" s="143"/>
      <c r="C535" s="141"/>
      <c r="D535" s="141"/>
    </row>
    <row r="536">
      <c r="A536" s="139"/>
      <c r="B536" s="140"/>
      <c r="C536" s="141"/>
      <c r="D536" s="141"/>
    </row>
    <row r="537">
      <c r="A537" s="142"/>
      <c r="B537" s="143"/>
      <c r="C537" s="141"/>
      <c r="D537" s="141"/>
    </row>
    <row r="538">
      <c r="A538" s="139"/>
      <c r="B538" s="140"/>
      <c r="C538" s="141"/>
      <c r="D538" s="141"/>
    </row>
    <row r="539">
      <c r="A539" s="142"/>
      <c r="B539" s="143"/>
      <c r="C539" s="141"/>
      <c r="D539" s="141"/>
    </row>
    <row r="540">
      <c r="A540" s="139"/>
      <c r="B540" s="140"/>
      <c r="C540" s="141"/>
      <c r="D540" s="141"/>
    </row>
    <row r="541">
      <c r="A541" s="142"/>
      <c r="B541" s="143"/>
      <c r="C541" s="141"/>
      <c r="D541" s="141"/>
    </row>
    <row r="542">
      <c r="A542" s="139"/>
      <c r="B542" s="140"/>
      <c r="C542" s="141"/>
      <c r="D542" s="141"/>
    </row>
    <row r="543">
      <c r="A543" s="142"/>
      <c r="B543" s="143"/>
      <c r="C543" s="141"/>
      <c r="D543" s="141"/>
    </row>
    <row r="544">
      <c r="A544" s="139"/>
      <c r="B544" s="140"/>
      <c r="C544" s="141"/>
      <c r="D544" s="141"/>
    </row>
    <row r="545">
      <c r="A545" s="142"/>
      <c r="B545" s="143"/>
      <c r="C545" s="141"/>
      <c r="D545" s="141"/>
    </row>
    <row r="546">
      <c r="A546" s="139"/>
      <c r="B546" s="140"/>
      <c r="C546" s="141"/>
      <c r="D546" s="141"/>
    </row>
    <row r="547">
      <c r="A547" s="142"/>
      <c r="B547" s="143"/>
      <c r="C547" s="141"/>
      <c r="D547" s="141"/>
    </row>
    <row r="548">
      <c r="A548" s="139"/>
      <c r="B548" s="140"/>
      <c r="C548" s="141"/>
      <c r="D548" s="141"/>
    </row>
    <row r="549">
      <c r="A549" s="142"/>
      <c r="B549" s="143"/>
      <c r="C549" s="141"/>
      <c r="D549" s="141"/>
    </row>
    <row r="550">
      <c r="A550" s="139"/>
      <c r="B550" s="140"/>
      <c r="C550" s="141"/>
      <c r="D550" s="141"/>
    </row>
    <row r="551">
      <c r="A551" s="142"/>
      <c r="B551" s="143"/>
      <c r="C551" s="141"/>
      <c r="D551" s="141"/>
    </row>
    <row r="552">
      <c r="A552" s="139"/>
      <c r="B552" s="140"/>
      <c r="C552" s="141"/>
      <c r="D552" s="141"/>
    </row>
    <row r="553">
      <c r="A553" s="142"/>
      <c r="B553" s="143"/>
      <c r="C553" s="141"/>
      <c r="D553" s="141"/>
    </row>
    <row r="554">
      <c r="A554" s="139"/>
      <c r="B554" s="140"/>
      <c r="C554" s="141"/>
      <c r="D554" s="141"/>
    </row>
    <row r="555">
      <c r="A555" s="142"/>
      <c r="B555" s="143"/>
      <c r="C555" s="141"/>
      <c r="D555" s="141"/>
    </row>
    <row r="556">
      <c r="A556" s="139"/>
      <c r="B556" s="140"/>
      <c r="C556" s="141"/>
      <c r="D556" s="141"/>
    </row>
    <row r="557">
      <c r="A557" s="142"/>
      <c r="B557" s="143"/>
      <c r="C557" s="141"/>
      <c r="D557" s="141"/>
    </row>
    <row r="558">
      <c r="A558" s="139"/>
      <c r="B558" s="140"/>
      <c r="C558" s="141"/>
      <c r="D558" s="141"/>
    </row>
    <row r="559">
      <c r="A559" s="142"/>
      <c r="B559" s="143"/>
      <c r="C559" s="141"/>
      <c r="D559" s="141"/>
    </row>
    <row r="560">
      <c r="A560" s="139"/>
      <c r="B560" s="140"/>
      <c r="C560" s="141"/>
      <c r="D560" s="141"/>
    </row>
    <row r="561">
      <c r="A561" s="142"/>
      <c r="B561" s="143"/>
      <c r="C561" s="141"/>
      <c r="D561" s="141"/>
    </row>
    <row r="562">
      <c r="A562" s="139"/>
      <c r="B562" s="140"/>
      <c r="C562" s="141"/>
      <c r="D562" s="141"/>
    </row>
    <row r="563">
      <c r="A563" s="142"/>
      <c r="B563" s="143"/>
      <c r="C563" s="141"/>
      <c r="D563" s="141"/>
    </row>
    <row r="564">
      <c r="A564" s="139"/>
      <c r="B564" s="140"/>
      <c r="C564" s="141"/>
      <c r="D564" s="141"/>
    </row>
    <row r="565">
      <c r="A565" s="142"/>
      <c r="B565" s="143"/>
      <c r="C565" s="141"/>
      <c r="D565" s="141"/>
    </row>
    <row r="566">
      <c r="A566" s="139"/>
      <c r="B566" s="140"/>
      <c r="C566" s="141"/>
      <c r="D566" s="141"/>
    </row>
    <row r="567">
      <c r="A567" s="142"/>
      <c r="B567" s="143"/>
      <c r="C567" s="141"/>
      <c r="D567" s="141"/>
    </row>
    <row r="568">
      <c r="A568" s="139"/>
      <c r="B568" s="140"/>
      <c r="C568" s="141"/>
      <c r="D568" s="141"/>
    </row>
    <row r="569">
      <c r="A569" s="142"/>
      <c r="B569" s="143"/>
      <c r="C569" s="141"/>
      <c r="D569" s="141"/>
    </row>
    <row r="570">
      <c r="A570" s="139"/>
      <c r="B570" s="140"/>
      <c r="C570" s="141"/>
      <c r="D570" s="141"/>
    </row>
    <row r="571">
      <c r="A571" s="142"/>
      <c r="B571" s="143"/>
      <c r="C571" s="141"/>
      <c r="D571" s="141"/>
    </row>
    <row r="572">
      <c r="A572" s="139"/>
      <c r="B572" s="140"/>
      <c r="C572" s="141"/>
      <c r="D572" s="141"/>
    </row>
    <row r="573">
      <c r="A573" s="142"/>
      <c r="B573" s="143"/>
      <c r="C573" s="141"/>
      <c r="D573" s="141"/>
    </row>
    <row r="574">
      <c r="A574" s="139"/>
      <c r="B574" s="140"/>
      <c r="C574" s="141"/>
      <c r="D574" s="141"/>
    </row>
    <row r="575">
      <c r="A575" s="142"/>
      <c r="B575" s="143"/>
      <c r="C575" s="141"/>
      <c r="D575" s="141"/>
    </row>
    <row r="576">
      <c r="A576" s="139"/>
      <c r="B576" s="140"/>
      <c r="C576" s="141"/>
      <c r="D576" s="141"/>
    </row>
    <row r="577">
      <c r="A577" s="142"/>
      <c r="B577" s="143"/>
      <c r="C577" s="141"/>
      <c r="D577" s="141"/>
    </row>
    <row r="578">
      <c r="A578" s="139"/>
      <c r="B578" s="140"/>
      <c r="C578" s="141"/>
      <c r="D578" s="141"/>
    </row>
    <row r="579">
      <c r="A579" s="142"/>
      <c r="B579" s="143"/>
      <c r="C579" s="141"/>
      <c r="D579" s="141"/>
    </row>
    <row r="580">
      <c r="A580" s="139"/>
      <c r="B580" s="140"/>
      <c r="C580" s="141"/>
      <c r="D580" s="141"/>
    </row>
    <row r="581">
      <c r="A581" s="142"/>
      <c r="B581" s="143"/>
      <c r="C581" s="141"/>
      <c r="D581" s="141"/>
    </row>
    <row r="582">
      <c r="A582" s="139"/>
      <c r="B582" s="140"/>
      <c r="C582" s="141"/>
      <c r="D582" s="141"/>
    </row>
    <row r="583">
      <c r="A583" s="142"/>
      <c r="B583" s="143"/>
      <c r="C583" s="141"/>
      <c r="D583" s="141"/>
    </row>
    <row r="584">
      <c r="A584" s="139"/>
      <c r="B584" s="140"/>
      <c r="C584" s="141"/>
      <c r="D584" s="141"/>
    </row>
    <row r="585">
      <c r="A585" s="142"/>
      <c r="B585" s="143"/>
      <c r="C585" s="141"/>
      <c r="D585" s="141"/>
    </row>
    <row r="586">
      <c r="A586" s="139"/>
      <c r="B586" s="140"/>
      <c r="C586" s="141"/>
      <c r="D586" s="141"/>
    </row>
    <row r="587">
      <c r="A587" s="142"/>
      <c r="B587" s="143"/>
      <c r="C587" s="141"/>
      <c r="D587" s="141"/>
    </row>
    <row r="588">
      <c r="A588" s="139"/>
      <c r="B588" s="140"/>
      <c r="C588" s="141"/>
      <c r="D588" s="141"/>
    </row>
  </sheetData>
  <mergeCells count="7">
    <mergeCell ref="A1:D1"/>
    <mergeCell ref="C2:D2"/>
    <mergeCell ref="C20:D20"/>
    <mergeCell ref="A49:B49"/>
    <mergeCell ref="A64:B64"/>
    <mergeCell ref="A76:B76"/>
    <mergeCell ref="A85:B8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6.38"/>
    <col customWidth="1" min="4" max="6" width="25.13"/>
  </cols>
  <sheetData>
    <row r="1">
      <c r="A1" s="117" t="str">
        <f>IFERROR(__xludf.DUMMYFUNCTION("IMPORTRANGE(""1pGQGO9M_OLNstXbY45t1_zMDCLpiw8pwB7y8fM3IKkA"",""Casino, Horse Race!A1:F100"")"),"Items in Red are exclusively found here")</f>
        <v>Items in Red are exclusively found here</v>
      </c>
      <c r="B1" s="4"/>
      <c r="C1" s="4"/>
      <c r="D1" s="4"/>
      <c r="E1" s="4"/>
      <c r="F1" s="5"/>
    </row>
    <row r="2">
      <c r="A2" s="66" t="str">
        <f>IFERROR(__xludf.DUMMYFUNCTION("""COMPUTED_VALUE"""),"Horse Cup")</f>
        <v>Horse Cup</v>
      </c>
      <c r="B2" s="66"/>
      <c r="C2" s="66" t="str">
        <f>IFERROR(__xludf.DUMMYFUNCTION("""COMPUTED_VALUE"""),"Fee")</f>
        <v>Fee</v>
      </c>
      <c r="D2" s="66" t="str">
        <f>IFERROR(__xludf.DUMMYFUNCTION("""COMPUTED_VALUE"""),"Prize (First Time)")</f>
        <v>Prize (First Time)</v>
      </c>
      <c r="E2" s="66" t="str">
        <f>IFERROR(__xludf.DUMMYFUNCTION("""COMPUTED_VALUE"""),"Prize (Repeat)")</f>
        <v>Prize (Repeat)</v>
      </c>
      <c r="F2" s="66" t="str">
        <f>IFERROR(__xludf.DUMMYFUNCTION("""COMPUTED_VALUE"""),"Participation")</f>
        <v>Participation</v>
      </c>
    </row>
    <row r="3">
      <c r="A3" s="144" t="str">
        <f>IFERROR(__xludf.DUMMYFUNCTION("""COMPUTED_VALUE"""),"Bronze")</f>
        <v>Bronze</v>
      </c>
      <c r="B3" s="145" t="str">
        <f>IFERROR(__xludf.DUMMYFUNCTION("""COMPUTED_VALUE"""),"Easy")</f>
        <v>Easy</v>
      </c>
      <c r="C3" s="145">
        <f>IFERROR(__xludf.DUMMYFUNCTION("""COMPUTED_VALUE"""),100.0)</f>
        <v>100</v>
      </c>
      <c r="D3" s="93" t="str">
        <f>IFERROR(__xludf.DUMMYFUNCTION("""COMPUTED_VALUE"""),"Slime Earrings")</f>
        <v>Slime Earrings</v>
      </c>
      <c r="E3" s="145" t="str">
        <f>IFERROR(__xludf.DUMMYFUNCTION("""COMPUTED_VALUE"""),"Iron Ore")</f>
        <v>Iron Ore</v>
      </c>
      <c r="F3" s="144" t="str">
        <f>IFERROR(__xludf.DUMMYFUNCTION("""COMPUTED_VALUE"""),"Copper Ore x2")</f>
        <v>Copper Ore x2</v>
      </c>
    </row>
    <row r="4">
      <c r="A4" s="98"/>
      <c r="B4" s="145" t="str">
        <f>IFERROR(__xludf.DUMMYFUNCTION("""COMPUTED_VALUE"""),"Difficult")</f>
        <v>Difficult</v>
      </c>
      <c r="C4" s="145">
        <f>IFERROR(__xludf.DUMMYFUNCTION("""COMPUTED_VALUE"""),200.0)</f>
        <v>200</v>
      </c>
      <c r="D4" s="93" t="str">
        <f>IFERROR(__xludf.DUMMYFUNCTION("""COMPUTED_VALUE"""),"Gold Bracer")</f>
        <v>Gold Bracer</v>
      </c>
      <c r="E4" s="145" t="str">
        <f>IFERROR(__xludf.DUMMYFUNCTION("""COMPUTED_VALUE"""),"Iron Ore x2")</f>
        <v>Iron Ore x2</v>
      </c>
      <c r="F4" s="98"/>
    </row>
    <row r="5">
      <c r="A5" s="146" t="str">
        <f>IFERROR(__xludf.DUMMYFUNCTION("""COMPUTED_VALUE"""),"Silver")</f>
        <v>Silver</v>
      </c>
      <c r="B5" s="145" t="str">
        <f>IFERROR(__xludf.DUMMYFUNCTION("""COMPUTED_VALUE"""),"Easy")</f>
        <v>Easy</v>
      </c>
      <c r="C5" s="147">
        <f>IFERROR(__xludf.DUMMYFUNCTION("""COMPUTED_VALUE"""),250.0)</f>
        <v>250</v>
      </c>
      <c r="D5" s="103" t="str">
        <f>IFERROR(__xludf.DUMMYFUNCTION("""COMPUTED_VALUE"""),"Gallopitan Garb")</f>
        <v>Gallopitan Garb</v>
      </c>
      <c r="E5" s="147" t="str">
        <f>IFERROR(__xludf.DUMMYFUNCTION("""COMPUTED_VALUE"""),"Gold Ore")</f>
        <v>Gold Ore</v>
      </c>
      <c r="F5" s="146" t="str">
        <f>IFERROR(__xludf.DUMMYFUNCTION("""COMPUTED_VALUE"""),"Silver Ore x2")</f>
        <v>Silver Ore x2</v>
      </c>
    </row>
    <row r="6">
      <c r="A6" s="98"/>
      <c r="B6" s="145" t="str">
        <f>IFERROR(__xludf.DUMMYFUNCTION("""COMPUTED_VALUE"""),"Difficult")</f>
        <v>Difficult</v>
      </c>
      <c r="C6" s="147">
        <f>IFERROR(__xludf.DUMMYFUNCTION("""COMPUTED_VALUE"""),500.0)</f>
        <v>500</v>
      </c>
      <c r="D6" s="103" t="str">
        <f>IFERROR(__xludf.DUMMYFUNCTION("""COMPUTED_VALUE"""),"Assassin")</f>
        <v>Assassin</v>
      </c>
      <c r="E6" s="147" t="str">
        <f>IFERROR(__xludf.DUMMYFUNCTION("""COMPUTED_VALUE"""),"Gold Ore x2")</f>
        <v>Gold Ore x2</v>
      </c>
      <c r="F6" s="98"/>
    </row>
    <row r="7">
      <c r="A7" s="144" t="str">
        <f>IFERROR(__xludf.DUMMYFUNCTION("""COMPUTED_VALUE"""),"Gold")</f>
        <v>Gold</v>
      </c>
      <c r="B7" s="145" t="str">
        <f>IFERROR(__xludf.DUMMYFUNCTION("""COMPUTED_VALUE"""),"Easy")</f>
        <v>Easy</v>
      </c>
      <c r="C7" s="145">
        <f>IFERROR(__xludf.DUMMYFUNCTION("""COMPUTED_VALUE"""),1000.0)</f>
        <v>1000</v>
      </c>
      <c r="D7" s="93" t="str">
        <f>IFERROR(__xludf.DUMMYFUNCTION("""COMPUTED_VALUE"""),"Metal Slime Helm")</f>
        <v>Metal Slime Helm</v>
      </c>
      <c r="E7" s="145" t="str">
        <f>IFERROR(__xludf.DUMMYFUNCTION("""COMPUTED_VALUE"""),"Platinum Ore")</f>
        <v>Platinum Ore</v>
      </c>
      <c r="F7" s="144" t="str">
        <f>IFERROR(__xludf.DUMMYFUNCTION("""COMPUTED_VALUE"""),"Gold Ore x2")</f>
        <v>Gold Ore x2</v>
      </c>
    </row>
    <row r="8">
      <c r="A8" s="98"/>
      <c r="B8" s="145" t="str">
        <f>IFERROR(__xludf.DUMMYFUNCTION("""COMPUTED_VALUE"""),"Difficult")</f>
        <v>Difficult</v>
      </c>
      <c r="C8" s="145">
        <f>IFERROR(__xludf.DUMMYFUNCTION("""COMPUTED_VALUE"""),2000.0)</f>
        <v>2000</v>
      </c>
      <c r="D8" s="145" t="str">
        <f>IFERROR(__xludf.DUMMYFUNCTION("""COMPUTED_VALUE"""),"Crimson Claws")</f>
        <v>Crimson Claws</v>
      </c>
      <c r="E8" s="145" t="str">
        <f>IFERROR(__xludf.DUMMYFUNCTION("""COMPUTED_VALUE"""),"Platinum Ore x2")</f>
        <v>Platinum Ore x2</v>
      </c>
      <c r="F8" s="98"/>
    </row>
    <row r="9">
      <c r="A9" s="146" t="str">
        <f>IFERROR(__xludf.DUMMYFUNCTION("""COMPUTED_VALUE"""),"Platinum")</f>
        <v>Platinum</v>
      </c>
      <c r="B9" s="145" t="str">
        <f>IFERROR(__xludf.DUMMYFUNCTION("""COMPUTED_VALUE"""),"Easy")</f>
        <v>Easy</v>
      </c>
      <c r="C9" s="147">
        <f>IFERROR(__xludf.DUMMYFUNCTION("""COMPUTED_VALUE"""),2000.0)</f>
        <v>2000</v>
      </c>
      <c r="D9" s="148" t="str">
        <f>IFERROR(__xludf.DUMMYFUNCTION("""COMPUTED_VALUE"""),"Forging Hammer")</f>
        <v>Forging Hammer</v>
      </c>
      <c r="E9" s="147" t="str">
        <f>IFERROR(__xludf.DUMMYFUNCTION("""COMPUTED_VALUE"""),"Mythril Ore")</f>
        <v>Mythril Ore</v>
      </c>
      <c r="F9" s="146" t="str">
        <f>IFERROR(__xludf.DUMMYFUNCTION("""COMPUTED_VALUE"""),"Platinum Ore x2")</f>
        <v>Platinum Ore x2</v>
      </c>
    </row>
    <row r="10">
      <c r="A10" s="98"/>
      <c r="B10" s="145" t="str">
        <f>IFERROR(__xludf.DUMMYFUNCTION("""COMPUTED_VALUE"""),"Difficult")</f>
        <v>Difficult</v>
      </c>
      <c r="C10" s="147">
        <f>IFERROR(__xludf.DUMMYFUNCTION("""COMPUTED_VALUE"""),4000.0)</f>
        <v>4000</v>
      </c>
      <c r="D10" s="147" t="str">
        <f>IFERROR(__xludf.DUMMYFUNCTION("""COMPUTED_VALUE"""),"Skysteed Sword")</f>
        <v>Skysteed Sword</v>
      </c>
      <c r="E10" s="147" t="str">
        <f>IFERROR(__xludf.DUMMYFUNCTION("""COMPUTED_VALUE"""),"Mythril Ore x2")</f>
        <v>Mythril Ore x2</v>
      </c>
      <c r="F10" s="98"/>
    </row>
    <row r="11">
      <c r="A11" s="144" t="str">
        <f>IFERROR(__xludf.DUMMYFUNCTION("""COMPUTED_VALUE"""),"Black")</f>
        <v>Black</v>
      </c>
      <c r="B11" s="145" t="str">
        <f>IFERROR(__xludf.DUMMYFUNCTION("""COMPUTED_VALUE"""),"Easy")</f>
        <v>Easy</v>
      </c>
      <c r="C11" s="145">
        <f>IFERROR(__xludf.DUMMYFUNCTION("""COMPUTED_VALUE"""),5000.0)</f>
        <v>5000</v>
      </c>
      <c r="D11" s="149" t="str">
        <f>IFERROR(__xludf.DUMMYFUNCTION("""COMPUTED_VALUE"""),"Recipe: The Stuff of Legend")</f>
        <v>Recipe: The Stuff of Legend</v>
      </c>
      <c r="E11" s="145" t="str">
        <f>IFERROR(__xludf.DUMMYFUNCTION("""COMPUTED_VALUE"""),"Crimsonite")</f>
        <v>Crimsonite</v>
      </c>
      <c r="F11" s="144" t="str">
        <f>IFERROR(__xludf.DUMMYFUNCTION("""COMPUTED_VALUE"""),"Mini Medal")</f>
        <v>Mini Medal</v>
      </c>
    </row>
    <row r="12">
      <c r="A12" s="98"/>
      <c r="B12" s="145" t="str">
        <f>IFERROR(__xludf.DUMMYFUNCTION("""COMPUTED_VALUE"""),"Difficult")</f>
        <v>Difficult</v>
      </c>
      <c r="C12" s="145" t="str">
        <f>IFERROR(__xludf.DUMMYFUNCTION("""COMPUTED_VALUE"""),"Free")</f>
        <v>Free</v>
      </c>
      <c r="D12" s="149" t="str">
        <f>IFERROR(__xludf.DUMMYFUNCTION("""COMPUTED_VALUE"""),"Wings of Serendipity")</f>
        <v>Wings of Serendipity</v>
      </c>
      <c r="E12" s="145" t="str">
        <f>IFERROR(__xludf.DUMMYFUNCTION("""COMPUTED_VALUE"""),"Crimsonite x2")</f>
        <v>Crimsonite x2</v>
      </c>
      <c r="F12" s="98"/>
    </row>
    <row r="13">
      <c r="A13" s="150"/>
      <c r="B13" s="150"/>
      <c r="C13" s="150"/>
      <c r="D13" s="151"/>
      <c r="E13" s="150"/>
      <c r="F13" s="150"/>
    </row>
    <row r="14">
      <c r="A14" s="152" t="str">
        <f>IFERROR(__xludf.DUMMYFUNCTION("""COMPUTED_VALUE"""),"Puerto Valor Casino")</f>
        <v>Puerto Valor Casino</v>
      </c>
      <c r="B14" s="7"/>
      <c r="C14" s="8"/>
      <c r="D14" s="66" t="str">
        <f>IFERROR(__xludf.DUMMYFUNCTION("""COMPUTED_VALUE"""),"Token")</f>
        <v>Token</v>
      </c>
      <c r="E14" s="153" t="str">
        <f>IFERROR(__xludf.DUMMYFUNCTION("""COMPUTED_VALUE"""),"Octagonia Casino")</f>
        <v>Octagonia Casino</v>
      </c>
      <c r="F14" s="152" t="str">
        <f>IFERROR(__xludf.DUMMYFUNCTION("""COMPUTED_VALUE"""),"Token")</f>
        <v>Token</v>
      </c>
    </row>
    <row r="15">
      <c r="A15" s="154" t="str">
        <f>IFERROR(__xludf.DUMMYFUNCTION("""COMPUTED_VALUE"""),"Recipe: Down the Rabbithole")</f>
        <v>Recipe: Down the Rabbithole</v>
      </c>
      <c r="B15" s="24"/>
      <c r="C15" s="25"/>
      <c r="D15" s="147">
        <f>IFERROR(__xludf.DUMMYFUNCTION("""COMPUTED_VALUE"""),500.0)</f>
        <v>500</v>
      </c>
      <c r="E15" s="155" t="str">
        <f>IFERROR(__xludf.DUMMYFUNCTION("""COMPUTED_VALUE"""),"Love Potion")</f>
        <v>Love Potion</v>
      </c>
      <c r="F15" s="156">
        <f>IFERROR(__xludf.DUMMYFUNCTION("""COMPUTED_VALUE"""),100.0)</f>
        <v>100</v>
      </c>
    </row>
    <row r="16">
      <c r="A16" s="117" t="str">
        <f>IFERROR(__xludf.DUMMYFUNCTION("""COMPUTED_VALUE"""),"Mercury's Bandana")</f>
        <v>Mercury's Bandana</v>
      </c>
      <c r="B16" s="7"/>
      <c r="C16" s="8"/>
      <c r="D16" s="157">
        <f>IFERROR(__xludf.DUMMYFUNCTION("""COMPUTED_VALUE"""),2500.0)</f>
        <v>2500</v>
      </c>
      <c r="E16" s="158" t="str">
        <f>IFERROR(__xludf.DUMMYFUNCTION("""COMPUTED_VALUE"""),"Sage's Elixir")</f>
        <v>Sage's Elixir</v>
      </c>
      <c r="F16" s="159">
        <f>IFERROR(__xludf.DUMMYFUNCTION("""COMPUTED_VALUE"""),1000.0)</f>
        <v>1000</v>
      </c>
    </row>
    <row r="17">
      <c r="A17" s="156" t="str">
        <f>IFERROR(__xludf.DUMMYFUNCTION("""COMPUTED_VALUE"""),"White Shield")</f>
        <v>White Shield</v>
      </c>
      <c r="B17" s="24"/>
      <c r="C17" s="25"/>
      <c r="D17" s="160">
        <f>IFERROR(__xludf.DUMMYFUNCTION("""COMPUTED_VALUE"""),5000.0)</f>
        <v>5000</v>
      </c>
      <c r="E17" s="155" t="str">
        <f>IFERROR(__xludf.DUMMYFUNCTION("""COMPUTED_VALUE"""),"Bow Tie")</f>
        <v>Bow Tie</v>
      </c>
      <c r="F17" s="161">
        <f>IFERROR(__xludf.DUMMYFUNCTION("""COMPUTED_VALUE"""),3000.0)</f>
        <v>3000</v>
      </c>
    </row>
    <row r="18">
      <c r="A18" s="117" t="str">
        <f>IFERROR(__xludf.DUMMYFUNCTION("""COMPUTED_VALUE"""),"Yggdrasil Leaf")</f>
        <v>Yggdrasil Leaf</v>
      </c>
      <c r="B18" s="7"/>
      <c r="C18" s="8"/>
      <c r="D18" s="157">
        <f>IFERROR(__xludf.DUMMYFUNCTION("""COMPUTED_VALUE"""),5000.0)</f>
        <v>5000</v>
      </c>
      <c r="E18" s="162" t="str">
        <f>IFERROR(__xludf.DUMMYFUNCTION("""COMPUTED_VALUE"""),"Recipe: Your Very Own Aegis...")</f>
        <v>Recipe: Your Very Own Aegis...</v>
      </c>
      <c r="F18" s="159">
        <f>IFERROR(__xludf.DUMMYFUNCTION("""COMPUTED_VALUE"""),5000.0)</f>
        <v>5000</v>
      </c>
    </row>
    <row r="19">
      <c r="A19" s="154" t="str">
        <f>IFERROR(__xludf.DUMMYFUNCTION("""COMPUTED_VALUE"""),"Infernails")</f>
        <v>Infernails</v>
      </c>
      <c r="B19" s="24"/>
      <c r="C19" s="25"/>
      <c r="D19" s="160">
        <f>IFERROR(__xludf.DUMMYFUNCTION("""COMPUTED_VALUE"""),7500.0)</f>
        <v>7500</v>
      </c>
      <c r="E19" s="155" t="str">
        <f>IFERROR(__xludf.DUMMYFUNCTION("""COMPUTED_VALUE"""),"Molten Globules")</f>
        <v>Molten Globules</v>
      </c>
      <c r="F19" s="161">
        <f>IFERROR(__xludf.DUMMYFUNCTION("""COMPUTED_VALUE"""),20000.0)</f>
        <v>20000</v>
      </c>
    </row>
    <row r="20">
      <c r="A20" s="163" t="str">
        <f>IFERROR(__xludf.DUMMYFUNCTION("""COMPUTED_VALUE"""),"Staff of Sentencing")</f>
        <v>Staff of Sentencing</v>
      </c>
      <c r="B20" s="7"/>
      <c r="C20" s="8"/>
      <c r="D20" s="157">
        <f>IFERROR(__xludf.DUMMYFUNCTION("""COMPUTED_VALUE"""),7500.0)</f>
        <v>7500</v>
      </c>
      <c r="E20" s="162" t="str">
        <f>IFERROR(__xludf.DUMMYFUNCTION("""COMPUTED_VALUE"""),"Cheat Sheet")</f>
        <v>Cheat Sheet</v>
      </c>
      <c r="F20" s="159">
        <f>IFERROR(__xludf.DUMMYFUNCTION("""COMPUTED_VALUE"""),30000.0)</f>
        <v>30000</v>
      </c>
    </row>
    <row r="21">
      <c r="A21" s="154" t="str">
        <f>IFERROR(__xludf.DUMMYFUNCTION("""COMPUTED_VALUE"""),"Arrivistes Vest")</f>
        <v>Arrivistes Vest</v>
      </c>
      <c r="B21" s="24"/>
      <c r="C21" s="25"/>
      <c r="D21" s="160">
        <f>IFERROR(__xludf.DUMMYFUNCTION("""COMPUTED_VALUE"""),10000.0)</f>
        <v>10000</v>
      </c>
      <c r="E21" s="164" t="str">
        <f>IFERROR(__xludf.DUMMYFUNCTION("""COMPUTED_VALUE"""),"Imp Knife")</f>
        <v>Imp Knife</v>
      </c>
      <c r="F21" s="161">
        <f>IFERROR(__xludf.DUMMYFUNCTION("""COMPUTED_VALUE"""),60000.0)</f>
        <v>60000</v>
      </c>
    </row>
    <row r="22">
      <c r="A22" s="163" t="str">
        <f>IFERROR(__xludf.DUMMYFUNCTION("""COMPUTED_VALUE"""),"Elevating Vest")</f>
        <v>Elevating Vest</v>
      </c>
      <c r="B22" s="7"/>
      <c r="C22" s="8"/>
      <c r="D22" s="157">
        <f>IFERROR(__xludf.DUMMYFUNCTION("""COMPUTED_VALUE"""),10000.0)</f>
        <v>10000</v>
      </c>
      <c r="E22" s="158" t="str">
        <f>IFERROR(__xludf.DUMMYFUNCTION("""COMPUTED_VALUE"""),"Scandalous Swimsuit")</f>
        <v>Scandalous Swimsuit</v>
      </c>
      <c r="F22" s="159">
        <f>IFERROR(__xludf.DUMMYFUNCTION("""COMPUTED_VALUE"""),70000.0)</f>
        <v>70000</v>
      </c>
    </row>
    <row r="23">
      <c r="A23" s="156" t="str">
        <f>IFERROR(__xludf.DUMMYFUNCTION("""COMPUTED_VALUE"""),"Spangled Dress")</f>
        <v>Spangled Dress</v>
      </c>
      <c r="B23" s="24"/>
      <c r="C23" s="25"/>
      <c r="D23" s="160">
        <f>IFERROR(__xludf.DUMMYFUNCTION("""COMPUTED_VALUE"""),25000.0)</f>
        <v>25000</v>
      </c>
      <c r="E23" s="155" t="str">
        <f>IFERROR(__xludf.DUMMYFUNCTION("""COMPUTED_VALUE"""),"Fire Ball")</f>
        <v>Fire Ball</v>
      </c>
      <c r="F23" s="161">
        <f>IFERROR(__xludf.DUMMYFUNCTION("""COMPUTED_VALUE"""),80000.0)</f>
        <v>80000</v>
      </c>
    </row>
    <row r="24">
      <c r="A24" s="117" t="str">
        <f>IFERROR(__xludf.DUMMYFUNCTION("""COMPUTED_VALUE"""),"Platinum Sword")</f>
        <v>Platinum Sword</v>
      </c>
      <c r="B24" s="7"/>
      <c r="C24" s="8"/>
      <c r="D24" s="157">
        <f>IFERROR(__xludf.DUMMYFUNCTION("""COMPUTED_VALUE"""),50000.0)</f>
        <v>50000</v>
      </c>
      <c r="E24" s="158" t="str">
        <f>IFERROR(__xludf.DUMMYFUNCTION("""COMPUTED_VALUE"""),"Twinkling Tuxedo")</f>
        <v>Twinkling Tuxedo</v>
      </c>
      <c r="F24" s="159">
        <f>IFERROR(__xludf.DUMMYFUNCTION("""COMPUTED_VALUE"""),200000.0)</f>
        <v>200000</v>
      </c>
    </row>
    <row r="25">
      <c r="A25" s="156" t="str">
        <f>IFERROR(__xludf.DUMMYFUNCTION("""COMPUTED_VALUE"""),"Lightning Lance")</f>
        <v>Lightning Lance</v>
      </c>
      <c r="B25" s="24"/>
      <c r="C25" s="25"/>
      <c r="D25" s="160">
        <f>IFERROR(__xludf.DUMMYFUNCTION("""COMPUTED_VALUE"""),75000.0)</f>
        <v>75000</v>
      </c>
      <c r="E25" s="155" t="str">
        <f>IFERROR(__xludf.DUMMYFUNCTION("""COMPUTED_VALUE"""),"Shimmering Dress")</f>
        <v>Shimmering Dress</v>
      </c>
      <c r="F25" s="161">
        <f>IFERROR(__xludf.DUMMYFUNCTION("""COMPUTED_VALUE"""),200000.0)</f>
        <v>200000</v>
      </c>
    </row>
    <row r="26">
      <c r="A26" s="117" t="str">
        <f>IFERROR(__xludf.DUMMYFUNCTION("""COMPUTED_VALUE"""),"Platinum Powersword")</f>
        <v>Platinum Powersword</v>
      </c>
      <c r="B26" s="7"/>
      <c r="C26" s="8"/>
      <c r="D26" s="157">
        <f>IFERROR(__xludf.DUMMYFUNCTION("""COMPUTED_VALUE"""),100000.0)</f>
        <v>100000</v>
      </c>
      <c r="E26" s="158" t="str">
        <f>IFERROR(__xludf.DUMMYFUNCTION("""COMPUTED_VALUE"""),"Happy Hat")</f>
        <v>Happy Hat</v>
      </c>
      <c r="F26" s="159">
        <f>IFERROR(__xludf.DUMMYFUNCTION("""COMPUTED_VALUE"""),300000.0)</f>
        <v>300000</v>
      </c>
    </row>
    <row r="27">
      <c r="A27" s="152" t="str">
        <f>IFERROR(__xludf.DUMMYFUNCTION("""COMPUTED_VALUE"""),"Part 2")</f>
        <v>Part 2</v>
      </c>
      <c r="B27" s="24"/>
      <c r="C27" s="24"/>
      <c r="D27" s="66"/>
      <c r="E27" s="164" t="str">
        <f>IFERROR(__xludf.DUMMYFUNCTION("""COMPUTED_VALUE"""),"Gringham Whip")</f>
        <v>Gringham Whip</v>
      </c>
      <c r="F27" s="161">
        <f>IFERROR(__xludf.DUMMYFUNCTION("""COMPUTED_VALUE"""),750000.0)</f>
        <v>750000</v>
      </c>
    </row>
    <row r="28">
      <c r="A28" s="117" t="str">
        <f>IFERROR(__xludf.DUMMYFUNCTION("""COMPUTED_VALUE"""),"Recipe: The Mothmask Prophecies")</f>
        <v>Recipe: The Mothmask Prophecies</v>
      </c>
      <c r="B28" s="7"/>
      <c r="C28" s="8"/>
      <c r="D28" s="157">
        <f>IFERROR(__xludf.DUMMYFUNCTION("""COMPUTED_VALUE"""),1000.0)</f>
        <v>1000</v>
      </c>
      <c r="E28" s="152" t="str">
        <f>IFERROR(__xludf.DUMMYFUNCTION("""COMPUTED_VALUE"""),"Postgame")</f>
        <v>Postgame</v>
      </c>
      <c r="F28" s="66"/>
    </row>
    <row r="29">
      <c r="A29" s="156" t="str">
        <f>IFERROR(__xludf.DUMMYFUNCTION("""COMPUTED_VALUE"""),"Sainted Soma")</f>
        <v>Sainted Soma</v>
      </c>
      <c r="B29" s="24"/>
      <c r="C29" s="25"/>
      <c r="D29" s="160">
        <f>IFERROR(__xludf.DUMMYFUNCTION("""COMPUTED_VALUE"""),30000.0)</f>
        <v>30000</v>
      </c>
      <c r="E29" s="155" t="str">
        <f>IFERROR(__xludf.DUMMYFUNCTION("""COMPUTED_VALUE"""),"Elfin Elixir")</f>
        <v>Elfin Elixir</v>
      </c>
      <c r="F29" s="161">
        <f>IFERROR(__xludf.DUMMYFUNCTION("""COMPUTED_VALUE"""),10000.0)</f>
        <v>10000</v>
      </c>
    </row>
    <row r="30">
      <c r="A30" s="117" t="str">
        <f>IFERROR(__xludf.DUMMYFUNCTION("""COMPUTED_VALUE"""),"Metal Slime Sword")</f>
        <v>Metal Slime Sword</v>
      </c>
      <c r="B30" s="7"/>
      <c r="C30" s="8"/>
      <c r="D30" s="157">
        <f>IFERROR(__xludf.DUMMYFUNCTION("""COMPUTED_VALUE"""),250000.0)</f>
        <v>250000</v>
      </c>
      <c r="E30" s="158" t="str">
        <f>IFERROR(__xludf.DUMMYFUNCTION("""COMPUTED_VALUE"""),"Slime Crown")</f>
        <v>Slime Crown</v>
      </c>
      <c r="F30" s="159">
        <f>IFERROR(__xludf.DUMMYFUNCTION("""COMPUTED_VALUE"""),50000.0)</f>
        <v>50000</v>
      </c>
    </row>
    <row r="31">
      <c r="A31" s="156" t="str">
        <f>IFERROR(__xludf.DUMMYFUNCTION("""COMPUTED_VALUE"""),"Liquid Metal Helm")</f>
        <v>Liquid Metal Helm</v>
      </c>
      <c r="B31" s="24"/>
      <c r="C31" s="25"/>
      <c r="D31" s="160">
        <f>IFERROR(__xludf.DUMMYFUNCTION("""COMPUTED_VALUE"""),500000.0)</f>
        <v>500000</v>
      </c>
      <c r="E31" s="164" t="str">
        <f>IFERROR(__xludf.DUMMYFUNCTION("""COMPUTED_VALUE"""),"Recipe: Uberswords Illustrated")</f>
        <v>Recipe: Uberswords Illustrated</v>
      </c>
      <c r="F31" s="161">
        <f>IFERROR(__xludf.DUMMYFUNCTION("""COMPUTED_VALUE"""),70000.0)</f>
        <v>70000</v>
      </c>
    </row>
    <row r="32">
      <c r="A32" s="152" t="str">
        <f>IFERROR(__xludf.DUMMYFUNCTION("""COMPUTED_VALUE"""),"Postgame")</f>
        <v>Postgame</v>
      </c>
      <c r="B32" s="7"/>
      <c r="C32" s="7"/>
      <c r="D32" s="66"/>
      <c r="E32" s="158" t="str">
        <f>IFERROR(__xludf.DUMMYFUNCTION("""COMPUTED_VALUE"""),"Gold Bar")</f>
        <v>Gold Bar</v>
      </c>
      <c r="F32" s="159">
        <f>IFERROR(__xludf.DUMMYFUNCTION("""COMPUTED_VALUE"""),100000.0)</f>
        <v>100000</v>
      </c>
    </row>
    <row r="33">
      <c r="A33" s="156" t="str">
        <f>IFERROR(__xludf.DUMMYFUNCTION("""COMPUTED_VALUE"""),"Yggdrasil Dew")</f>
        <v>Yggdrasil Dew</v>
      </c>
      <c r="B33" s="24"/>
      <c r="C33" s="25"/>
      <c r="D33" s="160">
        <f>IFERROR(__xludf.DUMMYFUNCTION("""COMPUTED_VALUE"""),10000.0)</f>
        <v>10000</v>
      </c>
      <c r="E33" s="155" t="str">
        <f>IFERROR(__xludf.DUMMYFUNCTION("""COMPUTED_VALUE"""),"Pep Pip")</f>
        <v>Pep Pip</v>
      </c>
      <c r="F33" s="161">
        <f>IFERROR(__xludf.DUMMYFUNCTION("""COMPUTED_VALUE"""),125000.0)</f>
        <v>125000</v>
      </c>
    </row>
    <row r="34">
      <c r="A34" s="117" t="str">
        <f>IFERROR(__xludf.DUMMYFUNCTION("""COMPUTED_VALUE"""),"Agate of Evolution")</f>
        <v>Agate of Evolution</v>
      </c>
      <c r="B34" s="7"/>
      <c r="C34" s="8"/>
      <c r="D34" s="157">
        <f>IFERROR(__xludf.DUMMYFUNCTION("""COMPUTED_VALUE"""),50000.0)</f>
        <v>50000</v>
      </c>
      <c r="E34" s="162" t="str">
        <f>IFERROR(__xludf.DUMMYFUNCTION("""COMPUTED_VALUE"""),"Hot Bikini")</f>
        <v>Hot Bikini</v>
      </c>
      <c r="F34" s="159">
        <f>IFERROR(__xludf.DUMMYFUNCTION("""COMPUTED_VALUE"""),150000.0)</f>
        <v>150000</v>
      </c>
    </row>
    <row r="35">
      <c r="A35" s="156" t="str">
        <f>IFERROR(__xludf.DUMMYFUNCTION("""COMPUTED_VALUE"""),"Spectralite")</f>
        <v>Spectralite</v>
      </c>
      <c r="B35" s="24"/>
      <c r="C35" s="25"/>
      <c r="D35" s="160">
        <f>IFERROR(__xludf.DUMMYFUNCTION("""COMPUTED_VALUE"""),200000.0)</f>
        <v>200000</v>
      </c>
      <c r="E35" s="155" t="str">
        <f>IFERROR(__xludf.DUMMYFUNCTION("""COMPUTED_VALUE"""),"Metal King Helm")</f>
        <v>Metal King Helm</v>
      </c>
      <c r="F35" s="161">
        <f>IFERROR(__xludf.DUMMYFUNCTION("""COMPUTED_VALUE"""),1000000.0)</f>
        <v>1000000</v>
      </c>
    </row>
    <row r="36">
      <c r="A36" s="117" t="str">
        <f>IFERROR(__xludf.DUMMYFUNCTION("""COMPUTED_VALUE"""),"Devilry Drinker")</f>
        <v>Devilry Drinker</v>
      </c>
      <c r="B36" s="7"/>
      <c r="C36" s="8"/>
      <c r="D36" s="157">
        <f>IFERROR(__xludf.DUMMYFUNCTION("""COMPUTED_VALUE"""),800000.0)</f>
        <v>800000</v>
      </c>
      <c r="E36" s="150"/>
      <c r="F36" s="150"/>
    </row>
  </sheetData>
  <mergeCells count="34">
    <mergeCell ref="F7:F8"/>
    <mergeCell ref="F9:F10"/>
    <mergeCell ref="F5:F6"/>
    <mergeCell ref="F11:F12"/>
    <mergeCell ref="A1:F1"/>
    <mergeCell ref="A3:A4"/>
    <mergeCell ref="F3:F4"/>
    <mergeCell ref="A5:A6"/>
    <mergeCell ref="A7:A8"/>
    <mergeCell ref="A9:A10"/>
    <mergeCell ref="A11:A12"/>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35:C35"/>
    <mergeCell ref="A36:C36"/>
    <mergeCell ref="A28:C28"/>
    <mergeCell ref="A29:C29"/>
    <mergeCell ref="A30:C30"/>
    <mergeCell ref="A31:C31"/>
    <mergeCell ref="A32:C32"/>
    <mergeCell ref="A33:C33"/>
    <mergeCell ref="A34:C3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 customWidth="1" min="2" max="2" width="37.63"/>
  </cols>
  <sheetData>
    <row r="1">
      <c r="A1" s="165" t="str">
        <f>IFERROR(__xludf.DUMMYFUNCTION("IMPORTRANGE(""1pGQGO9M_OLNstXbY45t1_zMDCLpiw8pwB7y8fM3IKkA"",""Locked Doors!A1:B34"")"),"Door")</f>
        <v>Door</v>
      </c>
      <c r="B1" s="165" t="str">
        <f>IFERROR(__xludf.DUMMYFUNCTION("""COMPUTED_VALUE"""),"Contents")</f>
        <v>Contents</v>
      </c>
    </row>
    <row r="2">
      <c r="A2" s="166" t="str">
        <f>IFERROR(__xludf.DUMMYFUNCTION("""COMPUTED_VALUE"""),"Magic Key")</f>
        <v>Magic Key</v>
      </c>
      <c r="B2" s="8"/>
    </row>
    <row r="3">
      <c r="A3" s="9" t="str">
        <f>IFERROR(__xludf.DUMMYFUNCTION("""COMPUTED_VALUE"""),"Cobblestone")</f>
        <v>Cobblestone</v>
      </c>
      <c r="B3" s="9" t="str">
        <f>IFERROR(__xludf.DUMMYFUNCTION("""COMPUTED_VALUE"""),"Chest: Wristorative")</f>
        <v>Chest: Wristorative</v>
      </c>
    </row>
    <row r="4">
      <c r="A4" s="13" t="str">
        <f>IFERROR(__xludf.DUMMYFUNCTION("""COMPUTED_VALUE"""),"Heliodor City - Downtown")</f>
        <v>Heliodor City - Downtown</v>
      </c>
      <c r="B4" s="13" t="str">
        <f>IFERROR(__xludf.DUMMYFUNCTION("""COMPUTED_VALUE"""),"Chest: 5,000 G")</f>
        <v>Chest: 5,000 G</v>
      </c>
    </row>
    <row r="5">
      <c r="A5" s="9" t="str">
        <f>IFERROR(__xludf.DUMMYFUNCTION("""COMPUTED_VALUE"""),"The Hotto Steppe")</f>
        <v>The Hotto Steppe</v>
      </c>
      <c r="B5" s="9" t="str">
        <f>IFERROR(__xludf.DUMMYFUNCTION("""COMPUTED_VALUE"""),"Chest: Banishing Blade")</f>
        <v>Chest: Banishing Blade</v>
      </c>
    </row>
    <row r="6">
      <c r="A6" s="13" t="str">
        <f>IFERROR(__xludf.DUMMYFUNCTION("""COMPUTED_VALUE"""),"Gallopolis")</f>
        <v>Gallopolis</v>
      </c>
      <c r="B6" s="13" t="str">
        <f>IFERROR(__xludf.DUMMYFUNCTION("""COMPUTED_VALUE"""),"Chest: Recipe: Making the Magic Happen
Chest: Seed of Skill
Chest: 2,000 G
Jar: Mini Medal
Jar: Pretty Betsy")</f>
        <v>Chest: Recipe: Making the Magic Happen
Chest: Seed of Skill
Chest: 2,000 G
Jar: Mini Medal
Jar: Pretty Betsy</v>
      </c>
    </row>
    <row r="7">
      <c r="A7" s="9" t="str">
        <f>IFERROR(__xludf.DUMMYFUNCTION("""COMPUTED_VALUE"""),"Gondolia")</f>
        <v>Gondolia</v>
      </c>
      <c r="B7" s="9" t="str">
        <f>IFERROR(__xludf.DUMMYFUNCTION("""COMPUTED_VALUE"""),"Chest: Recipe: Divine Designs
Barrel: Dieamend
Barrel: Seed of Magic
Jar: Mini Medal")</f>
        <v>Chest: Recipe: Divine Designs
Barrel: Dieamend
Barrel: Seed of Magic
Jar: Mini Medal</v>
      </c>
    </row>
    <row r="8">
      <c r="A8" s="13" t="str">
        <f>IFERROR(__xludf.DUMMYFUNCTION("""COMPUTED_VALUE"""),"Zwaardsrust Region")</f>
        <v>Zwaardsrust Region</v>
      </c>
      <c r="B8" s="13" t="str">
        <f>IFERROR(__xludf.DUMMYFUNCTION("""COMPUTED_VALUE"""),"Chest: Recipe: Classy Clobber for Kingly Kids
Chest: Enchanted Stone
Chest: Purple Orb
Gold Sparkly: Choker")</f>
        <v>Chest: Recipe: Classy Clobber for Kingly Kids
Chest: Enchanted Stone
Chest: Purple Orb
Gold Sparkly: Choker</v>
      </c>
    </row>
    <row r="9">
      <c r="A9" s="9" t="str">
        <f>IFERROR(__xludf.DUMMYFUNCTION("""COMPUTED_VALUE"""),"Dundrasil Region")</f>
        <v>Dundrasil Region</v>
      </c>
      <c r="B9" s="9" t="str">
        <f>IFERROR(__xludf.DUMMYFUNCTION("""COMPUTED_VALUE"""),"Chest: Mini Medal x3")</f>
        <v>Chest: Mini Medal x3</v>
      </c>
    </row>
    <row r="10">
      <c r="A10" s="13" t="str">
        <f>IFERROR(__xludf.DUMMYFUNCTION("""COMPUTED_VALUE"""),"Puerto Valor")</f>
        <v>Puerto Valor</v>
      </c>
      <c r="B10" s="13" t="str">
        <f>IFERROR(__xludf.DUMMYFUNCTION("""COMPUTED_VALUE"""),"Chest: Falcon Knife Earring")</f>
        <v>Chest: Falcon Knife Earring</v>
      </c>
    </row>
    <row r="11">
      <c r="A11" s="9" t="str">
        <f>IFERROR(__xludf.DUMMYFUNCTION("""COMPUTED_VALUE"""),"Lonalulu")</f>
        <v>Lonalulu</v>
      </c>
      <c r="B11" s="9" t="str">
        <f>IFERROR(__xludf.DUMMYFUNCTION("""COMPUTED_VALUE"""),"Chest: Zombie Mail
Barrel: Seed of Life
Barrel: Mini Medal")</f>
        <v>Chest: Zombie Mail
Barrel: Seed of Life
Barrel: Mini Medal</v>
      </c>
    </row>
    <row r="12">
      <c r="A12" s="13" t="str">
        <f>IFERROR(__xludf.DUMMYFUNCTION("""COMPUTED_VALUE"""),"L'Academie")</f>
        <v>L'Academie</v>
      </c>
      <c r="B12" s="13" t="str">
        <f>IFERROR(__xludf.DUMMYFUNCTION("""COMPUTED_VALUE"""),"Chest: Uniform de l'Academie
Chest: Thunderball
Jar: Seed of Skill
Jar: Mini Medal")</f>
        <v>Chest: Uniform de l'Academie
Chest: Thunderball
Jar: Seed of Skill
Jar: Mini Medal</v>
      </c>
    </row>
    <row r="13">
      <c r="A13" s="9" t="str">
        <f>IFERROR(__xludf.DUMMYFUNCTION("""COMPUTED_VALUE"""),"Phnom Nonh")</f>
        <v>Phnom Nonh</v>
      </c>
      <c r="B13" s="9" t="str">
        <f>IFERROR(__xludf.DUMMYFUNCTION("""COMPUTED_VALUE"""),"Chest: Recipe: Secrets of the Silversmiths
Jar: Sage's Elixir")</f>
        <v>Chest: Recipe: Secrets of the Silversmiths
Jar: Sage's Elixir</v>
      </c>
    </row>
    <row r="14">
      <c r="A14" s="13" t="str">
        <f>IFERROR(__xludf.DUMMYFUNCTION("""COMPUTED_VALUE"""),"Insula Australis")</f>
        <v>Insula Australis</v>
      </c>
      <c r="B14" s="13" t="str">
        <f>IFERROR(__xludf.DUMMYFUNCTION("""COMPUTED_VALUE"""),"Chest: Slime Crown")</f>
        <v>Chest: Slime Crown</v>
      </c>
    </row>
    <row r="15">
      <c r="A15" s="9" t="str">
        <f>IFERROR(__xludf.DUMMYFUNCTION("""COMPUTED_VALUE"""),"Insula Occidentalis")</f>
        <v>Insula Occidentalis</v>
      </c>
      <c r="B15" s="9" t="str">
        <f>IFERROR(__xludf.DUMMYFUNCTION("""COMPUTED_VALUE"""),"Chest: Falcon Blade")</f>
        <v>Chest: Falcon Blade</v>
      </c>
    </row>
    <row r="16">
      <c r="A16" s="13" t="str">
        <f>IFERROR(__xludf.DUMMYFUNCTION("""COMPUTED_VALUE"""),"Insula Centralis")</f>
        <v>Insula Centralis</v>
      </c>
      <c r="B16" s="13" t="str">
        <f>IFERROR(__xludf.DUMMYFUNCTION("""COMPUTED_VALUE"""),"Chest: Sainted Soma")</f>
        <v>Chest: Sainted Soma</v>
      </c>
    </row>
    <row r="17">
      <c r="A17" s="9" t="str">
        <f>IFERROR(__xludf.DUMMYFUNCTION("""COMPUTED_VALUE"""),"Sniflheim")</f>
        <v>Sniflheim</v>
      </c>
      <c r="B17" s="9" t="str">
        <f>IFERROR(__xludf.DUMMYFUNCTION("""COMPUTED_VALUE"""),"Story progress")</f>
        <v>Story progress</v>
      </c>
    </row>
    <row r="18">
      <c r="A18" s="167"/>
      <c r="B18" s="8"/>
    </row>
    <row r="19">
      <c r="A19" s="166" t="str">
        <f>IFERROR(__xludf.DUMMYFUNCTION("""COMPUTED_VALUE"""),"Ultimate Key")</f>
        <v>Ultimate Key</v>
      </c>
      <c r="B19" s="25"/>
    </row>
    <row r="20">
      <c r="A20" s="13" t="str">
        <f>IFERROR(__xludf.DUMMYFUNCTION("""COMPUTED_VALUE"""),"Heliodor Dungeons - Lower")</f>
        <v>Heliodor Dungeons - Lower</v>
      </c>
      <c r="B20" s="13" t="str">
        <f>IFERROR(__xludf.DUMMYFUNCTION("""COMPUTED_VALUE"""),"Chest: Recipe: King of the Swindlers
Chest: Skull Helm")</f>
        <v>Chest: Recipe: King of the Swindlers
Chest: Skull Helm</v>
      </c>
    </row>
    <row r="21">
      <c r="A21" s="9" t="str">
        <f>IFERROR(__xludf.DUMMYFUNCTION("""COMPUTED_VALUE"""),"The Cryptic Crypt")</f>
        <v>The Cryptic Crypt</v>
      </c>
      <c r="B21" s="9" t="str">
        <f>IFERROR(__xludf.DUMMYFUNCTION("""COMPUTED_VALUE"""),"Chest: Recipe: Field Manual
Chest: Metal King Jacket
Chest: Malicious Pandora's Box (Seed of Skill)")</f>
        <v>Chest: Recipe: Field Manual
Chest: Metal King Jacket
Chest: Malicious Pandora's Box (Seed of Skill)</v>
      </c>
    </row>
    <row r="22">
      <c r="A22" s="13" t="str">
        <f>IFERROR(__xludf.DUMMYFUNCTION("""COMPUTED_VALUE"""),"Gallopolis City (Well)")</f>
        <v>Gallopolis City (Well)</v>
      </c>
      <c r="B22" s="13" t="str">
        <f>IFERROR(__xludf.DUMMYFUNCTION("""COMPUTED_VALUE"""),"Chest: Fire Ball")</f>
        <v>Chest: Fire Ball</v>
      </c>
    </row>
    <row r="23">
      <c r="A23" s="9" t="str">
        <f>IFERROR(__xludf.DUMMYFUNCTION("""COMPUTED_VALUE"""),"Gondolia")</f>
        <v>Gondolia</v>
      </c>
      <c r="B23" s="9" t="str">
        <f>IFERROR(__xludf.DUMMYFUNCTION("""COMPUTED_VALUE"""),"Chest: 50,000 G
Chest: Agate of Evolution
Jar: Mini Medal")</f>
        <v>Chest: 50,000 G
Chest: Agate of Evolution
Jar: Mini Medal</v>
      </c>
    </row>
    <row r="24">
      <c r="A24" s="13" t="str">
        <f>IFERROR(__xludf.DUMMYFUNCTION("""COMPUTED_VALUE"""),"Puerto Valor")</f>
        <v>Puerto Valor</v>
      </c>
      <c r="B24" s="13" t="str">
        <f>IFERROR(__xludf.DUMMYFUNCTION("""COMPUTED_VALUE"""),"Chest: Technicolour Dreamcloth")</f>
        <v>Chest: Technicolour Dreamcloth</v>
      </c>
    </row>
    <row r="25">
      <c r="A25" s="9" t="str">
        <f>IFERROR(__xludf.DUMMYFUNCTION("""COMPUTED_VALUE"""),"Phnom Nonh")</f>
        <v>Phnom Nonh</v>
      </c>
      <c r="B25" s="9" t="str">
        <f>IFERROR(__xludf.DUMMYFUNCTION("""COMPUTED_VALUE"""),"Chest: Gold Bar")</f>
        <v>Chest: Gold Bar</v>
      </c>
    </row>
    <row r="26">
      <c r="A26" s="13" t="str">
        <f>IFERROR(__xludf.DUMMYFUNCTION("""COMPUTED_VALUE"""),"Insula Occidentalis")</f>
        <v>Insula Occidentalis</v>
      </c>
      <c r="B26" s="13" t="str">
        <f>IFERROR(__xludf.DUMMYFUNCTION("""COMPUTED_VALUE"""),"Chest: Metal King Armour")</f>
        <v>Chest: Metal King Armour</v>
      </c>
    </row>
    <row r="27">
      <c r="A27" s="9" t="str">
        <f>IFERROR(__xludf.DUMMYFUNCTION("""COMPUTED_VALUE"""),"Insula Incognita")</f>
        <v>Insula Incognita</v>
      </c>
      <c r="B27" s="9" t="str">
        <f>IFERROR(__xludf.DUMMYFUNCTION("""COMPUTED_VALUE"""),"Chest: Recipe: Gifts from the Goddess")</f>
        <v>Chest: Recipe: Gifts from the Goddess</v>
      </c>
    </row>
    <row r="28">
      <c r="A28" s="13" t="str">
        <f>IFERROR(__xludf.DUMMYFUNCTION("""COMPUTED_VALUE"""),"Insula Orientalis")</f>
        <v>Insula Orientalis</v>
      </c>
      <c r="B28" s="13" t="str">
        <f>IFERROR(__xludf.DUMMYFUNCTION("""COMPUTED_VALUE"""),"Chest: Recipe: Circles of Life")</f>
        <v>Chest: Recipe: Circles of Life</v>
      </c>
    </row>
    <row r="29">
      <c r="A29" s="9" t="str">
        <f>IFERROR(__xludf.DUMMYFUNCTION("""COMPUTED_VALUE"""),"Sniflheim Castle (Basement)")</f>
        <v>Sniflheim Castle (Basement)</v>
      </c>
      <c r="B29" s="9" t="str">
        <f>IFERROR(__xludf.DUMMYFUNCTION("""COMPUTED_VALUE"""),"Chest: Recipe: Badges of Honour
Chest: Chronocrystal")</f>
        <v>Chest: Recipe: Badges of Honour
Chest: Chronocrystal</v>
      </c>
    </row>
    <row r="30">
      <c r="A30" s="13" t="str">
        <f>IFERROR(__xludf.DUMMYFUNCTION("""COMPUTED_VALUE"""),"Manglegrove - Whale Way")</f>
        <v>Manglegrove - Whale Way</v>
      </c>
      <c r="B30" s="13" t="str">
        <f>IFERROR(__xludf.DUMMYFUNCTION("""COMPUTED_VALUE"""),"Chest: Chronocrystal x3")</f>
        <v>Chest: Chronocrystal x3</v>
      </c>
    </row>
    <row r="31">
      <c r="A31" s="9" t="str">
        <f>IFERROR(__xludf.DUMMYFUNCTION("""COMPUTED_VALUE"""),"Hotto Steppe - Northern Whale Way")</f>
        <v>Hotto Steppe - Northern Whale Way</v>
      </c>
      <c r="B31" s="9" t="str">
        <f>IFERROR(__xludf.DUMMYFUNCTION("""COMPUTED_VALUE"""),"Chest: Recipe: Sizzling Styles")</f>
        <v>Chest: Recipe: Sizzling Styles</v>
      </c>
    </row>
    <row r="32">
      <c r="A32" s="13" t="str">
        <f>IFERROR(__xludf.DUMMYFUNCTION("""COMPUTED_VALUE"""),"Champs Sauvage - Whale Way")</f>
        <v>Champs Sauvage - Whale Way</v>
      </c>
      <c r="B32" s="13" t="str">
        <f>IFERROR(__xludf.DUMMYFUNCTION("""COMPUTED_VALUE"""),"Mini Medal x3")</f>
        <v>Mini Medal x3</v>
      </c>
    </row>
    <row r="33">
      <c r="A33" s="9" t="str">
        <f>IFERROR(__xludf.DUMMYFUNCTION("""COMPUTED_VALUE"""),"Sniflheim - Whale Way")</f>
        <v>Sniflheim - Whale Way</v>
      </c>
      <c r="B33" s="9" t="str">
        <f>IFERROR(__xludf.DUMMYFUNCTION("""COMPUTED_VALUE"""),"Chest: Recipe: Sage Advice")</f>
        <v>Chest: Recipe: Sage Advice</v>
      </c>
    </row>
    <row r="34">
      <c r="A34" s="13" t="str">
        <f>IFERROR(__xludf.DUMMYFUNCTION("""COMPUTED_VALUE"""),"The Battleground (B8)")</f>
        <v>The Battleground (B8)</v>
      </c>
      <c r="B34" s="13" t="str">
        <f>IFERROR(__xludf.DUMMYFUNCTION("""COMPUTED_VALUE"""),"Chest: Recipe: The Way of the War Goddess
Mining: Orichalcum, Densinium, Dracolyte")</f>
        <v>Chest: Recipe: The Way of the War Goddess
Mining: Orichalcum, Densinium, Dracolyte</v>
      </c>
    </row>
  </sheetData>
  <mergeCells count="3">
    <mergeCell ref="A2:B2"/>
    <mergeCell ref="A18:B18"/>
    <mergeCell ref="A19:B1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5.13"/>
    <col customWidth="1" min="4" max="4" width="62.63"/>
  </cols>
  <sheetData>
    <row r="1">
      <c r="A1" s="168" t="str">
        <f>IFERROR(__xludf.DUMMYFUNCTION("IMPORTRANGE(""1pGQGO9M_OLNstXbY45t1_zMDCLpiw8pwB7y8fM3IKkA"",""Exp, Gold, Seed Farm!A1:D78"")"),"Exp Farming")</f>
        <v>Exp Farming</v>
      </c>
      <c r="B1" s="169"/>
      <c r="C1" s="169"/>
      <c r="D1" s="170"/>
    </row>
    <row r="2">
      <c r="A2" s="171"/>
      <c r="B2" s="172"/>
      <c r="C2" s="172"/>
      <c r="D2" s="172"/>
    </row>
    <row r="3">
      <c r="A3" s="173" t="str">
        <f>IFERROR(__xludf.DUMMYFUNCTION("""COMPUTED_VALUE"""),"You'll need one Pep Pip per battle from casino, quest rewards, crossbow completion, or mini medal exchange, put them on Sylvando")</f>
        <v>You'll need one Pep Pip per battle from casino, quest rewards, crossbow completion, or mini medal exchange, put them on Sylvando</v>
      </c>
      <c r="B3" s="172"/>
      <c r="C3" s="172"/>
      <c r="D3" s="172"/>
    </row>
    <row r="4">
      <c r="A4" s="173" t="str">
        <f>IFERROR(__xludf.DUMMYFUNCTION("""COMPUTED_VALUE"""),"Main Abilites: Hero - Pep Up (Luminary), Erik - Critical Claim (Guile) ")</f>
        <v>Main Abilites: Hero - Pep Up (Luminary), Erik - Critical Claim (Guile) </v>
      </c>
      <c r="B4" s="172"/>
      <c r="C4" s="172"/>
      <c r="D4" s="172"/>
    </row>
    <row r="5">
      <c r="A5" s="173" t="str">
        <f>IFERROR(__xludf.DUMMYFUNCTION("""COMPUTED_VALUE"""),"Two of these: Jade-  Lightning Thrust (Spears), Serena - Thunder Thrust (Spears), Eight - Hatchet Man (Axes)")</f>
        <v>Two of these: Jade-  Lightning Thrust (Spears), Serena - Thunder Thrust (Spears), Eight - Hatchet Man (Axes)</v>
      </c>
      <c r="B5" s="172"/>
      <c r="C5" s="172"/>
      <c r="D5" s="172"/>
    </row>
    <row r="6">
      <c r="A6" s="174"/>
      <c r="B6" s="172"/>
      <c r="C6" s="172"/>
      <c r="D6" s="172"/>
    </row>
    <row r="7">
      <c r="A7" s="173" t="str">
        <f>IFERROR(__xludf.DUMMYFUNCTION("""COMPUTED_VALUE"""),"1. Get Rab Erik Sylvando Jade and into pep and swap them out. Have the Hero use Pep Up when done. ( about 10 minutes spamming defend)")</f>
        <v>1. Get Rab Erik Sylvando Jade and into pep and swap them out. Have the Hero use Pep Up when done. ( about 10 minutes spamming defend)</v>
      </c>
      <c r="B7" s="172"/>
      <c r="C7" s="172"/>
      <c r="D7" s="172"/>
    </row>
    <row r="8">
      <c r="A8" s="173" t="str">
        <f>IFERROR(__xludf.DUMMYFUNCTION("""COMPUTED_VALUE"""),"2. Save your game! ")</f>
        <v>2. Save your game! </v>
      </c>
      <c r="B8" s="172"/>
      <c r="C8" s="172"/>
      <c r="D8" s="172"/>
    </row>
    <row r="9">
      <c r="A9" s="173" t="str">
        <f>IFERROR(__xludf.DUMMYFUNCTION("""COMPUTED_VALUE"""),"3. Start a random battle anywhere with a party of Hero, Erik, Jade, Sylvando")</f>
        <v>3. Start a random battle anywhere with a party of Hero, Erik, Jade, Sylvando</v>
      </c>
      <c r="B9" s="172"/>
      <c r="C9" s="172"/>
      <c r="D9" s="172"/>
    </row>
    <row r="10">
      <c r="A10" s="173" t="str">
        <f>IFERROR(__xludf.DUMMYFUNCTION("""COMPUTED_VALUE"""),"4. Hero, Jade, Erik use Haulellujah for guaranteed drop + exp bonus (Jade is usually fastest)")</f>
        <v>4. Hero, Jade, Erik use Haulellujah for guaranteed drop + exp bonus (Jade is usually fastest)</v>
      </c>
      <c r="B10" s="172"/>
      <c r="C10" s="172"/>
      <c r="D10" s="172"/>
    </row>
    <row r="11">
      <c r="A11" s="173" t="str">
        <f>IFERROR(__xludf.DUMMYFUNCTION("""COMPUTED_VALUE"""),"5. Swap Erik to Rab, Hero Pep Up, Sylvando uses a Pep Pip on Jade.")</f>
        <v>5. Swap Erik to Rab, Hero Pep Up, Sylvando uses a Pep Pip on Jade.</v>
      </c>
      <c r="B11" s="172"/>
      <c r="C11" s="172"/>
      <c r="D11" s="172"/>
    </row>
    <row r="12">
      <c r="A12" s="173" t="str">
        <f>IFERROR(__xludf.DUMMYFUNCTION("""COMPUTED_VALUE"""),"6. Wait for the enemy Moves to conclude")</f>
        <v>6. Wait for the enemy Moves to conclude</v>
      </c>
      <c r="B12" s="172"/>
      <c r="C12" s="172"/>
      <c r="D12" s="172"/>
    </row>
    <row r="13">
      <c r="A13" s="173" t="str">
        <f>IFERROR(__xludf.DUMMYFUNCTION("""COMPUTED_VALUE"""),"7. Hero, Jade, Sylvando use Electro Light to change the battle into a fight with 3 Metals (flee and reload if this fails)")</f>
        <v>7. Hero, Jade, Sylvando use Electro Light to change the battle into a fight with 3 Metals (flee and reload if this fails)</v>
      </c>
      <c r="B13" s="172"/>
      <c r="C13" s="172"/>
      <c r="D13" s="172"/>
    </row>
    <row r="14">
      <c r="A14" s="173" t="str">
        <f>IFERROR(__xludf.DUMMYFUNCTION("""COMPUTED_VALUE"""),"8. Swap Sylvando for Erik")</f>
        <v>8. Swap Sylvando for Erik</v>
      </c>
      <c r="B14" s="172"/>
      <c r="C14" s="172"/>
      <c r="D14" s="172"/>
    </row>
    <row r="15">
      <c r="A15" s="173" t="str">
        <f>IFERROR(__xludf.DUMMYFUNCTION("""COMPUTED_VALUE"""),"9. Rab uses Pep to force sleep the Metals")</f>
        <v>9. Rab uses Pep to force sleep the Metals</v>
      </c>
      <c r="B15" s="172"/>
      <c r="C15" s="172"/>
      <c r="D15" s="172"/>
    </row>
    <row r="16">
      <c r="A16" s="173" t="str">
        <f>IFERROR(__xludf.DUMMYFUNCTION("""COMPUTED_VALUE"""),"10. Begin killing with critical abilities only")</f>
        <v>10. Begin killing with critical abilities only</v>
      </c>
      <c r="B16" s="172"/>
      <c r="C16" s="172"/>
      <c r="D16" s="172"/>
    </row>
    <row r="17">
      <c r="A17" s="171"/>
      <c r="B17" s="172"/>
      <c r="C17" s="172"/>
      <c r="D17" s="172"/>
    </row>
    <row r="18">
      <c r="A18" s="173" t="str">
        <f>IFERROR(__xludf.DUMMYFUNCTION("""COMPUTED_VALUE"""),"Every 10 levels the encounter changes")</f>
        <v>Every 10 levels the encounter changes</v>
      </c>
      <c r="B18" s="172"/>
      <c r="C18" s="172"/>
      <c r="D18" s="172"/>
    </row>
    <row r="19">
      <c r="A19" s="173" t="str">
        <f>IFERROR(__xludf.DUMMYFUNCTION("""COMPUTED_VALUE"""),"50: 3x Vicious Metal Slime: About 300k exp, Seed of Life from each")</f>
        <v>50: 3x Vicious Metal Slime: About 300k exp, Seed of Life from each</v>
      </c>
      <c r="B19" s="172"/>
      <c r="C19" s="172"/>
      <c r="D19" s="172"/>
    </row>
    <row r="20">
      <c r="A20" s="173" t="str">
        <f>IFERROR(__xludf.DUMMYFUNCTION("""COMPUTED_VALUE"""),"60: 2x Vicious Metal Slime, 1x Liquid Metal, About 350k exp, Happy Hat from the Liquid")</f>
        <v>60: 2x Vicious Metal Slime, 1x Liquid Metal, About 350k exp, Happy Hat from the Liquid</v>
      </c>
      <c r="B20" s="172"/>
      <c r="C20" s="172"/>
      <c r="D20" s="172"/>
    </row>
    <row r="21">
      <c r="A21" s="173" t="str">
        <f>IFERROR(__xludf.DUMMYFUNCTION("""COMPUTED_VALUE"""),"70: 1x Vicious Metal King, 2x Liquid Metal, About 800k exp, Pep Pip from Metal King")</f>
        <v>70: 1x Vicious Metal King, 2x Liquid Metal, About 800k exp, Pep Pip from Metal King</v>
      </c>
      <c r="B21" s="172"/>
      <c r="C21" s="172"/>
      <c r="D21" s="172"/>
    </row>
    <row r="22">
      <c r="A22" s="171"/>
      <c r="B22" s="172"/>
      <c r="C22" s="172"/>
      <c r="D22" s="172"/>
    </row>
    <row r="23">
      <c r="A23" s="173" t="str">
        <f>IFERROR(__xludf.DUMMYFUNCTION("""COMPUTED_VALUE"""),"At 70+ the Metal King returns the Pep Pip you use. Before 70 you'll need to rely on any Pep Pips you have from quest rewards or 125000 tokens. ")</f>
        <v>At 70+ the Metal King returns the Pep Pip you use. Before 70 you'll need to rely on any Pep Pips you have from quest rewards or 125000 tokens. </v>
      </c>
      <c r="B23" s="172"/>
      <c r="C23" s="172"/>
      <c r="D23" s="172"/>
    </row>
    <row r="24">
      <c r="A24" s="174" t="str">
        <f>IFERROR(__xludf.DUMMYFUNCTION("""COMPUTED_VALUE"""),"Gain 4-5 levels per from 50-70, and like 7-8 from 70-99. Reasonable to go from 50 to 99 with Pep Pip rewards from quest/crossbow completion")</f>
        <v>Gain 4-5 levels per from 50-70, and like 7-8 from 70-99. Reasonable to go from 50 to 99 with Pep Pip rewards from quest/crossbow completion</v>
      </c>
      <c r="B24" s="172"/>
      <c r="C24" s="172"/>
      <c r="D24" s="172"/>
    </row>
    <row r="25">
      <c r="A25" s="175"/>
      <c r="B25" s="172"/>
      <c r="C25" s="172"/>
      <c r="D25" s="172"/>
    </row>
    <row r="26">
      <c r="A26" s="176" t="str">
        <f>IFERROR(__xludf.DUMMYFUNCTION("""COMPUTED_VALUE"""),"Gold Farming")</f>
        <v>Gold Farming</v>
      </c>
      <c r="B26" s="7"/>
      <c r="C26" s="7"/>
      <c r="D26" s="8"/>
    </row>
    <row r="27">
      <c r="A27" s="175" t="str">
        <f>IFERROR(__xludf.DUMMYFUNCTION("""COMPUTED_VALUE"""),"Hooper Duper in First Forest Whale Way Station")</f>
        <v>Hooper Duper in First Forest Whale Way Station</v>
      </c>
      <c r="B27" s="172"/>
      <c r="C27" s="172"/>
      <c r="D27" s="172"/>
    </row>
    <row r="28">
      <c r="A28" s="175" t="str">
        <f>IFERROR(__xludf.DUMMYFUNCTION("""COMPUTED_VALUE"""),"Common steal is Devilry Drinker, sells for 30,000")</f>
        <v>Common steal is Devilry Drinker, sells for 30,000</v>
      </c>
      <c r="B28" s="172"/>
      <c r="C28" s="172"/>
      <c r="D28" s="172"/>
    </row>
    <row r="29">
      <c r="A29" s="177"/>
      <c r="B29" s="177"/>
      <c r="C29" s="177"/>
      <c r="D29" s="177"/>
    </row>
    <row r="30">
      <c r="A30" s="176" t="str">
        <f>IFERROR(__xludf.DUMMYFUNCTION("""COMPUTED_VALUE"""),"Seed Farming")</f>
        <v>Seed Farming</v>
      </c>
      <c r="B30" s="7"/>
      <c r="C30" s="7"/>
      <c r="D30" s="8"/>
    </row>
    <row r="31">
      <c r="A31" s="178" t="str">
        <f>IFERROR(__xludf.DUMMYFUNCTION("""COMPUTED_VALUE"""),"All seeds are rare drops.  Equip drop rate boosting items and use pep Haullelujah (2+ enemies) or Itemized Kill (1 enemy) to get some guaranteed drops")</f>
        <v>All seeds are rare drops.  Equip drop rate boosting items and use pep Haullelujah (2+ enemies) or Itemized Kill (1 enemy) to get some guaranteed drops</v>
      </c>
      <c r="B31" s="179"/>
      <c r="C31" s="179"/>
      <c r="D31" s="180"/>
    </row>
    <row r="32">
      <c r="A32" s="181" t="str">
        <f>IFERROR(__xludf.DUMMYFUNCTION("""COMPUTED_VALUE"""),"Drop Rate Equipment")</f>
        <v>Drop Rate Equipment</v>
      </c>
      <c r="B32" s="182"/>
      <c r="C32" s="183"/>
      <c r="D32" s="184"/>
    </row>
    <row r="33">
      <c r="A33" s="181" t="str">
        <f>IFERROR(__xludf.DUMMYFUNCTION("""COMPUTED_VALUE"""),"Uniforme de l'Academie")</f>
        <v>Uniforme de l'Academie</v>
      </c>
      <c r="B33" s="71" t="str">
        <f>IFERROR(__xludf.DUMMYFUNCTION("""COMPUTED_VALUE"""),"Mini Medal Stamp: 25, Magic Key: L'Academie, Quest: The Agony and the Ecstasy")</f>
        <v>Mini Medal Stamp: 25, Magic Key: L'Academie, Quest: The Agony and the Ecstasy</v>
      </c>
      <c r="C33" s="183"/>
      <c r="D33" s="184"/>
    </row>
    <row r="34">
      <c r="A34" s="181" t="str">
        <f>IFERROR(__xludf.DUMMYFUNCTION("""COMPUTED_VALUE"""),"Pirate King's Pendant")</f>
        <v>Pirate King's Pendant</v>
      </c>
      <c r="B34" s="185" t="str">
        <f>IFERROR(__xludf.DUMMYFUNCTION("""COMPUTED_VALUE"""),"Postgame Event in Sniflheim")</f>
        <v>Postgame Event in Sniflheim</v>
      </c>
      <c r="C34" s="183"/>
      <c r="D34" s="184"/>
    </row>
    <row r="35">
      <c r="A35" s="186" t="str">
        <f>IFERROR(__xludf.DUMMYFUNCTION("""COMPUTED_VALUE"""),"Bunny Tail")</f>
        <v>Bunny Tail</v>
      </c>
      <c r="B35" s="187" t="str">
        <f>IFERROR(__xludf.DUMMYFUNCTION("""COMPUTED_VALUE"""),"Rare drop from Spiked Hare (Malicious Spiked Hare is fine), south part of Dundrasil region, used Hallelujah pep")</f>
        <v>Rare drop from Spiked Hare (Malicious Spiked Hare is fine), south part of Dundrasil region, used Hallelujah pep</v>
      </c>
      <c r="C35" s="188"/>
      <c r="D35" s="189"/>
    </row>
    <row r="36">
      <c r="A36" s="190" t="str">
        <f>IFERROR(__xludf.DUMMYFUNCTION("""COMPUTED_VALUE"""),"All locations are available in the postgame")</f>
        <v>All locations are available in the postgame</v>
      </c>
      <c r="B36" s="7"/>
      <c r="C36" s="7"/>
      <c r="D36" s="8"/>
    </row>
    <row r="37">
      <c r="A37" s="191" t="str">
        <f>IFERROR(__xludf.DUMMYFUNCTION("""COMPUTED_VALUE"""),"Enemy")</f>
        <v>Enemy</v>
      </c>
      <c r="B37" s="191" t="str">
        <f>IFERROR(__xludf.DUMMYFUNCTION("""COMPUTED_VALUE"""),"Location")</f>
        <v>Location</v>
      </c>
      <c r="C37" s="113" t="str">
        <f>IFERROR(__xludf.DUMMYFUNCTION("""COMPUTED_VALUE"""),"Enemy Count")</f>
        <v>Enemy Count</v>
      </c>
      <c r="D37" s="113" t="str">
        <f>IFERROR(__xludf.DUMMYFUNCTION("""COMPUTED_VALUE"""),"Misc")</f>
        <v>Misc</v>
      </c>
    </row>
    <row r="38">
      <c r="A38" s="192" t="str">
        <f>IFERROR(__xludf.DUMMYFUNCTION("""COMPUTED_VALUE"""),"Life")</f>
        <v>Life</v>
      </c>
      <c r="B38" s="7"/>
      <c r="C38" s="7"/>
      <c r="D38" s="8"/>
    </row>
    <row r="39">
      <c r="A39" s="193" t="str">
        <f>IFERROR(__xludf.DUMMYFUNCTION("""COMPUTED_VALUE"""),"Corpse Corporal")</f>
        <v>Corpse Corporal</v>
      </c>
      <c r="B39" s="145" t="str">
        <f>IFERROR(__xludf.DUMMYFUNCTION("""COMPUTED_VALUE"""),"Champs Sauvage")</f>
        <v>Champs Sauvage</v>
      </c>
      <c r="C39" s="93">
        <f>IFERROR(__xludf.DUMMYFUNCTION("""COMPUTED_VALUE"""),3.0)</f>
        <v>3</v>
      </c>
      <c r="D39" s="145" t="str">
        <f>IFERROR(__xludf.DUMMYFUNCTION("""COMPUTED_VALUE"""),"near north camp")</f>
        <v>near north camp</v>
      </c>
    </row>
    <row r="40">
      <c r="A40" s="193" t="str">
        <f>IFERROR(__xludf.DUMMYFUNCTION("""COMPUTED_VALUE"""),"Malicious Moosifer")</f>
        <v>Malicious Moosifer</v>
      </c>
      <c r="B40" s="145" t="str">
        <f>IFERROR(__xludf.DUMMYFUNCTION("""COMPUTED_VALUE"""),"First Forest")</f>
        <v>First Forest</v>
      </c>
      <c r="C40" s="93">
        <f>IFERROR(__xludf.DUMMYFUNCTION("""COMPUTED_VALUE"""),1.0)</f>
        <v>1</v>
      </c>
      <c r="D40" s="145"/>
    </row>
    <row r="41">
      <c r="A41" s="194" t="str">
        <f>IFERROR(__xludf.DUMMYFUNCTION("""COMPUTED_VALUE"""),"Boreal Serpent")</f>
        <v>Boreal Serpent</v>
      </c>
      <c r="B41" s="145" t="str">
        <f>IFERROR(__xludf.DUMMYFUNCTION("""COMPUTED_VALUE"""),"Mount Pang Lai")</f>
        <v>Mount Pang Lai</v>
      </c>
      <c r="C41" s="93">
        <f>IFERROR(__xludf.DUMMYFUNCTION("""COMPUTED_VALUE"""),1.0)</f>
        <v>1</v>
      </c>
      <c r="D41" s="145" t="str">
        <f>IFERROR(__xludf.DUMMYFUNCTION("""COMPUTED_VALUE"""),"Outside Angri-La")</f>
        <v>Outside Angri-La</v>
      </c>
    </row>
    <row r="42">
      <c r="A42" s="156" t="str">
        <f>IFERROR(__xludf.DUMMYFUNCTION("""COMPUTED_VALUE"""),"Magic")</f>
        <v>Magic</v>
      </c>
      <c r="B42" s="7"/>
      <c r="C42" s="7"/>
      <c r="D42" s="8"/>
    </row>
    <row r="43">
      <c r="A43" s="193" t="str">
        <f>IFERROR(__xludf.DUMMYFUNCTION("""COMPUTED_VALUE"""),"Vicious Hypothermion")</f>
        <v>Vicious Hypothermion</v>
      </c>
      <c r="B43" s="145" t="str">
        <f>IFERROR(__xludf.DUMMYFUNCTION("""COMPUTED_VALUE"""),"Sage's Trial - Hoarder's Keep")</f>
        <v>Sage's Trial - Hoarder's Keep</v>
      </c>
      <c r="C43" s="93">
        <f>IFERROR(__xludf.DUMMYFUNCTION("""COMPUTED_VALUE"""),1.0)</f>
        <v>1</v>
      </c>
      <c r="D43" s="145" t="str">
        <f>IFERROR(__xludf.DUMMYFUNCTION("""COMPUTED_VALUE"""),"3F, SE room")</f>
        <v>3F, SE room</v>
      </c>
    </row>
    <row r="44">
      <c r="A44" s="195" t="str">
        <f>IFERROR(__xludf.DUMMYFUNCTION("""COMPUTED_VALUE"""),"Strength")</f>
        <v>Strength</v>
      </c>
      <c r="B44" s="7"/>
      <c r="C44" s="7"/>
      <c r="D44" s="8"/>
    </row>
    <row r="45">
      <c r="A45" s="194" t="str">
        <f>IFERROR(__xludf.DUMMYFUNCTION("""COMPUTED_VALUE"""),"Brownie")</f>
        <v>Brownie</v>
      </c>
      <c r="B45" s="196" t="str">
        <f>IFERROR(__xludf.DUMMYFUNCTION("""COMPUTED_VALUE"""),"Insula Incognito (SW Island)")</f>
        <v>Insula Incognito (SW Island)</v>
      </c>
      <c r="C45" s="93">
        <f>IFERROR(__xludf.DUMMYFUNCTION("""COMPUTED_VALUE"""),5.0)</f>
        <v>5</v>
      </c>
      <c r="D45" s="196" t="str">
        <f>IFERROR(__xludf.DUMMYFUNCTION("""COMPUTED_VALUE"""),"Southwest Island")</f>
        <v>Southwest Island</v>
      </c>
    </row>
    <row r="46">
      <c r="A46" s="192" t="str">
        <f>IFERROR(__xludf.DUMMYFUNCTION("""COMPUTED_VALUE"""),"Defence")</f>
        <v>Defence</v>
      </c>
      <c r="B46" s="7"/>
      <c r="C46" s="7"/>
      <c r="D46" s="8"/>
    </row>
    <row r="47">
      <c r="A47" s="197" t="str">
        <f>IFERROR(__xludf.DUMMYFUNCTION("""COMPUTED_VALUE"""),"Mosstodon")</f>
        <v>Mosstodon</v>
      </c>
      <c r="B47" s="196" t="str">
        <f>IFERROR(__xludf.DUMMYFUNCTION("""COMPUTED_VALUE"""),"First Forest")</f>
        <v>First Forest</v>
      </c>
      <c r="C47" s="196">
        <f>IFERROR(__xludf.DUMMYFUNCTION("""COMPUTED_VALUE"""),2.0)</f>
        <v>2</v>
      </c>
      <c r="D47" s="196" t="str">
        <f>IFERROR(__xludf.DUMMYFUNCTION("""COMPUTED_VALUE"""),"south of entrance")</f>
        <v>south of entrance</v>
      </c>
    </row>
    <row r="48" ht="1.5" customHeight="1">
      <c r="A48" s="192" t="str">
        <f>IFERROR(__xludf.DUMMYFUNCTION("""COMPUTED_VALUE"""),"Agility")</f>
        <v>Agility</v>
      </c>
      <c r="B48" s="7"/>
      <c r="C48" s="7"/>
      <c r="D48" s="8"/>
    </row>
    <row r="49" ht="1.5" customHeight="1">
      <c r="A49" s="197" t="str">
        <f>IFERROR(__xludf.DUMMYFUNCTION("""COMPUTED_VALUE"""),"Vicious Raven Lunatic")</f>
        <v>Vicious Raven Lunatic</v>
      </c>
      <c r="B49" s="196" t="str">
        <f>IFERROR(__xludf.DUMMYFUNCTION("""COMPUTED_VALUE"""),"Sage's Trial - Fierce Forest")</f>
        <v>Sage's Trial - Fierce Forest</v>
      </c>
      <c r="C49" s="145">
        <f>IFERROR(__xludf.DUMMYFUNCTION("""COMPUTED_VALUE"""),2.0)</f>
        <v>2</v>
      </c>
      <c r="D49" s="196" t="str">
        <f>IFERROR(__xludf.DUMMYFUNCTION("""COMPUTED_VALUE"""),"Take the south warp at start")</f>
        <v>Take the south warp at start</v>
      </c>
    </row>
    <row r="50">
      <c r="A50" s="156" t="str">
        <f>IFERROR(__xludf.DUMMYFUNCTION("""COMPUTED_VALUE"""),"Sorcery")</f>
        <v>Sorcery</v>
      </c>
      <c r="B50" s="7"/>
      <c r="C50" s="7"/>
      <c r="D50" s="8"/>
    </row>
    <row r="51">
      <c r="A51" s="197" t="str">
        <f>IFERROR(__xludf.DUMMYFUNCTION("""COMPUTED_VALUE"""),"Hooper Duper")</f>
        <v>Hooper Duper</v>
      </c>
      <c r="B51" s="145" t="str">
        <f>IFERROR(__xludf.DUMMYFUNCTION("""COMPUTED_VALUE"""),"First Forest - Whale Way")</f>
        <v>First Forest - Whale Way</v>
      </c>
      <c r="C51" s="93">
        <f>IFERROR(__xludf.DUMMYFUNCTION("""COMPUTED_VALUE"""),3.0)</f>
        <v>3</v>
      </c>
      <c r="D51" s="145" t="str">
        <f>IFERROR(__xludf.DUMMYFUNCTION("""COMPUTED_VALUE"""),"Common drop sells for 30,000")</f>
        <v>Common drop sells for 30,000</v>
      </c>
    </row>
    <row r="52">
      <c r="A52" s="192" t="str">
        <f>IFERROR(__xludf.DUMMYFUNCTION("""COMPUTED_VALUE"""),"Deftness")</f>
        <v>Deftness</v>
      </c>
      <c r="B52" s="7"/>
      <c r="C52" s="7"/>
      <c r="D52" s="8"/>
    </row>
    <row r="53">
      <c r="A53" s="197" t="str">
        <f>IFERROR(__xludf.DUMMYFUNCTION("""COMPUTED_VALUE"""),"Malicious Shadeshifter")</f>
        <v>Malicious Shadeshifter</v>
      </c>
      <c r="B53" s="196" t="str">
        <f>IFERROR(__xludf.DUMMYFUNCTION("""COMPUTED_VALUE"""),"The Other Side")</f>
        <v>The Other Side</v>
      </c>
      <c r="C53" s="145">
        <f>IFERROR(__xludf.DUMMYFUNCTION("""COMPUTED_VALUE"""),3.0)</f>
        <v>3</v>
      </c>
      <c r="D53" s="196" t="str">
        <f>IFERROR(__xludf.DUMMYFUNCTION("""COMPUTED_VALUE"""),"bigger spawns in the second area")</f>
        <v>bigger spawns in the second area</v>
      </c>
    </row>
    <row r="54">
      <c r="A54" s="197" t="str">
        <f>IFERROR(__xludf.DUMMYFUNCTION("""COMPUTED_VALUE"""),"Malicious Chillanodon")</f>
        <v>Malicious Chillanodon</v>
      </c>
      <c r="B54" s="196" t="str">
        <f>IFERROR(__xludf.DUMMYFUNCTION("""COMPUTED_VALUE"""),"Snaerfelt")</f>
        <v>Snaerfelt</v>
      </c>
      <c r="C54" s="145">
        <f>IFERROR(__xludf.DUMMYFUNCTION("""COMPUTED_VALUE"""),2.0)</f>
        <v>2</v>
      </c>
      <c r="D54" s="196" t="str">
        <f>IFERROR(__xludf.DUMMYFUNCTION("""COMPUTED_VALUE"""),"upper ledge leading to library")</f>
        <v>upper ledge leading to library</v>
      </c>
    </row>
    <row r="55">
      <c r="A55" s="192" t="str">
        <f>IFERROR(__xludf.DUMMYFUNCTION("""COMPUTED_VALUE"""),"Therapeusis")</f>
        <v>Therapeusis</v>
      </c>
      <c r="B55" s="198"/>
      <c r="C55" s="198"/>
      <c r="D55" s="199"/>
    </row>
    <row r="56">
      <c r="A56" s="194" t="str">
        <f>IFERROR(__xludf.DUMMYFUNCTION("""COMPUTED_VALUE"""),"Wight King")</f>
        <v>Wight King</v>
      </c>
      <c r="B56" s="93" t="str">
        <f>IFERROR(__xludf.DUMMYFUNCTION("""COMPUTED_VALUE"""),"Caverns Under Octagonia")</f>
        <v>Caverns Under Octagonia</v>
      </c>
      <c r="C56" s="93">
        <f>IFERROR(__xludf.DUMMYFUNCTION("""COMPUTED_VALUE"""),2.0)</f>
        <v>2</v>
      </c>
      <c r="D56" s="93" t="str">
        <f>IFERROR(__xludf.DUMMYFUNCTION("""COMPUTED_VALUE"""),"Near the boss area")</f>
        <v>Near the boss area</v>
      </c>
    </row>
    <row r="57">
      <c r="A57" s="193" t="str">
        <f>IFERROR(__xludf.DUMMYFUNCTION("""COMPUTED_VALUE"""),"Vicious Lump Shamen")</f>
        <v>Vicious Lump Shamen</v>
      </c>
      <c r="B57" s="145" t="str">
        <f>IFERROR(__xludf.DUMMYFUNCTION("""COMPUTED_VALUE"""),"Sage's Trial - Hoarder's Keep")</f>
        <v>Sage's Trial - Hoarder's Keep</v>
      </c>
      <c r="C57" s="93">
        <f>IFERROR(__xludf.DUMMYFUNCTION("""COMPUTED_VALUE"""),2.0)</f>
        <v>2</v>
      </c>
      <c r="D57" s="145" t="str">
        <f>IFERROR(__xludf.DUMMYFUNCTION("""COMPUTED_VALUE"""),"2F SW room")</f>
        <v>2F SW room</v>
      </c>
    </row>
    <row r="58">
      <c r="A58" s="197" t="str">
        <f>IFERROR(__xludf.DUMMYFUNCTION("""COMPUTED_VALUE"""),"Malicious Wrecktor")</f>
        <v>Malicious Wrecktor</v>
      </c>
      <c r="B58" s="93" t="str">
        <f>IFERROR(__xludf.DUMMYFUNCTION("""COMPUTED_VALUE"""),"Royal Library")</f>
        <v>Royal Library</v>
      </c>
      <c r="C58" s="93">
        <f>IFERROR(__xludf.DUMMYFUNCTION("""COMPUTED_VALUE"""),1.0)</f>
        <v>1</v>
      </c>
      <c r="D58" s="196"/>
    </row>
    <row r="59">
      <c r="A59" s="192" t="str">
        <f>IFERROR(__xludf.DUMMYFUNCTION("""COMPUTED_VALUE"""),"Pretty Betsy")</f>
        <v>Pretty Betsy</v>
      </c>
      <c r="B59" s="198"/>
      <c r="C59" s="198"/>
      <c r="D59" s="199"/>
    </row>
    <row r="60">
      <c r="A60" s="197" t="str">
        <f>IFERROR(__xludf.DUMMYFUNCTION("""COMPUTED_VALUE"""),"Malicious Whirly Girly ")</f>
        <v>Malicious Whirly Girly </v>
      </c>
      <c r="B60" s="196" t="str">
        <f>IFERROR(__xludf.DUMMYFUNCTION("""COMPUTED_VALUE"""),"Sniflheim Region")</f>
        <v>Sniflheim Region</v>
      </c>
      <c r="C60" s="196">
        <f>IFERROR(__xludf.DUMMYFUNCTION("""COMPUTED_VALUE"""),2.0)</f>
        <v>2</v>
      </c>
      <c r="D60" s="200"/>
    </row>
    <row r="61">
      <c r="A61" s="192" t="str">
        <f>IFERROR(__xludf.DUMMYFUNCTION("""COMPUTED_VALUE"""),"Skill")</f>
        <v>Skill</v>
      </c>
      <c r="B61" s="198"/>
      <c r="C61" s="198"/>
      <c r="D61" s="199"/>
    </row>
    <row r="62">
      <c r="A62" s="197" t="str">
        <f>IFERROR(__xludf.DUMMYFUNCTION("""COMPUTED_VALUE"""),"Malicious Great Keeper")</f>
        <v>Malicious Great Keeper</v>
      </c>
      <c r="B62" s="196" t="str">
        <f>IFERROR(__xludf.DUMMYFUNCTION("""COMPUTED_VALUE"""),"Dundrasil Region (Rainy)")</f>
        <v>Dundrasil Region (Rainy)</v>
      </c>
      <c r="C62" s="196">
        <f>IFERROR(__xludf.DUMMYFUNCTION("""COMPUTED_VALUE"""),2.0)</f>
        <v>2</v>
      </c>
      <c r="D62" s="196" t="str">
        <f>IFERROR(__xludf.DUMMYFUNCTION("""COMPUTED_VALUE"""),"SE of camp near ruined walls, gold statues fall from the sky as you get close")</f>
        <v>SE of camp near ruined walls, gold statues fall from the sky as you get close</v>
      </c>
    </row>
    <row r="63">
      <c r="A63" s="201" t="str">
        <f>IFERROR(__xludf.DUMMYFUNCTION("""COMPUTED_VALUE"""),"# of Skill Seeds to Max")</f>
        <v># of Skill Seeds to Max</v>
      </c>
      <c r="B63" s="198"/>
      <c r="C63" s="198"/>
      <c r="D63" s="199"/>
    </row>
    <row r="64">
      <c r="A64" s="182" t="str">
        <f>IFERROR(__xludf.DUMMYFUNCTION("""COMPUTED_VALUE"""),"Hero: 14 ")</f>
        <v>Hero: 14 </v>
      </c>
      <c r="B64" s="182" t="str">
        <f>IFERROR(__xludf.DUMMYFUNCTION("""COMPUTED_VALUE"""),"Sylvando: 12")</f>
        <v>Sylvando: 12</v>
      </c>
      <c r="C64" s="182"/>
      <c r="D64" s="172"/>
    </row>
    <row r="65">
      <c r="A65" s="182" t="str">
        <f>IFERROR(__xludf.DUMMYFUNCTION("""COMPUTED_VALUE"""),"Erik: 3")</f>
        <v>Erik: 3</v>
      </c>
      <c r="B65" s="182" t="str">
        <f>IFERROR(__xludf.DUMMYFUNCTION("""COMPUTED_VALUE"""),"Rab: 5")</f>
        <v>Rab: 5</v>
      </c>
      <c r="C65" s="182"/>
      <c r="D65" s="172"/>
    </row>
    <row r="66">
      <c r="A66" s="182" t="str">
        <f>IFERROR(__xludf.DUMMYFUNCTION("""COMPUTED_VALUE"""),"Veronica: 12")</f>
        <v>Veronica: 12</v>
      </c>
      <c r="B66" s="182" t="str">
        <f>IFERROR(__xludf.DUMMYFUNCTION("""COMPUTED_VALUE"""),"Jade: 3")</f>
        <v>Jade: 3</v>
      </c>
      <c r="C66" s="172"/>
      <c r="D66" s="172"/>
    </row>
    <row r="67">
      <c r="A67" s="182" t="str">
        <f>IFERROR(__xludf.DUMMYFUNCTION("""COMPUTED_VALUE"""),"Serena: 12")</f>
        <v>Serena: 12</v>
      </c>
      <c r="B67" s="182" t="str">
        <f>IFERROR(__xludf.DUMMYFUNCTION("""COMPUTED_VALUE"""),"Eight: 12")</f>
        <v>Eight: 12</v>
      </c>
      <c r="C67" s="172"/>
      <c r="D67" s="172"/>
    </row>
    <row r="68">
      <c r="A68" s="201" t="str">
        <f>IFERROR(__xludf.DUMMYFUNCTION("""COMPUTED_VALUE"""),"Bonus Skill Panels")</f>
        <v>Bonus Skill Panels</v>
      </c>
      <c r="B68" s="7"/>
      <c r="C68" s="7"/>
      <c r="D68" s="8"/>
    </row>
    <row r="69">
      <c r="A69" s="202" t="str">
        <f>IFERROR(__xludf.DUMMYFUNCTION("""COMPUTED_VALUE"""),"First time activating these panels will give you +10 skill points, possible to respec, activate, and respec again to retain the points and spend elsewhere")</f>
        <v>First time activating these panels will give you +10 skill points, possible to respec, activate, and respec again to retain the points and spend elsewhere</v>
      </c>
      <c r="B69" s="198"/>
      <c r="C69" s="198"/>
      <c r="D69" s="199"/>
    </row>
    <row r="70">
      <c r="A70" s="145" t="str">
        <f>IFERROR(__xludf.DUMMYFUNCTION("""COMPUTED_VALUE"""),"Character")</f>
        <v>Character</v>
      </c>
      <c r="B70" s="93" t="str">
        <f>IFERROR(__xludf.DUMMYFUNCTION("""COMPUTED_VALUE"""),"Tree")</f>
        <v>Tree</v>
      </c>
      <c r="C70" s="76" t="str">
        <f>IFERROR(__xludf.DUMMYFUNCTION("""COMPUTED_VALUE"""),"Min. Point")</f>
        <v>Min. Point</v>
      </c>
      <c r="D70" s="196" t="str">
        <f>IFERROR(__xludf.DUMMYFUNCTION("""COMPUTED_VALUE"""),"Node")</f>
        <v>Node</v>
      </c>
    </row>
    <row r="71">
      <c r="A71" s="203" t="str">
        <f>IFERROR(__xludf.DUMMYFUNCTION("""COMPUTED_VALUE"""),"Hero")</f>
        <v>Hero</v>
      </c>
      <c r="B71" s="204" t="str">
        <f>IFERROR(__xludf.DUMMYFUNCTION("""COMPUTED_VALUE"""),"Luminary")</f>
        <v>Luminary</v>
      </c>
      <c r="C71" s="205">
        <f>IFERROR(__xludf.DUMMYFUNCTION("""COMPUTED_VALUE"""),44.0)</f>
        <v>44</v>
      </c>
      <c r="D71" s="76" t="str">
        <f>IFERROR(__xludf.DUMMYFUNCTION("""COMPUTED_VALUE"""),"Charm +40")</f>
        <v>Charm +40</v>
      </c>
    </row>
    <row r="72">
      <c r="A72" s="193" t="str">
        <f>IFERROR(__xludf.DUMMYFUNCTION("""COMPUTED_VALUE"""),"Erik")</f>
        <v>Erik</v>
      </c>
      <c r="B72" s="93" t="str">
        <f>IFERROR(__xludf.DUMMYFUNCTION("""COMPUTED_VALUE"""),"Guile")</f>
        <v>Guile</v>
      </c>
      <c r="C72" s="196">
        <f>IFERROR(__xludf.DUMMYFUNCTION("""COMPUTED_VALUE"""),34.0)</f>
        <v>34</v>
      </c>
      <c r="D72" s="145" t="str">
        <f>IFERROR(__xludf.DUMMYFUNCTION("""COMPUTED_VALUE"""),"Agility +30")</f>
        <v>Agility +30</v>
      </c>
    </row>
    <row r="73">
      <c r="A73" s="203" t="str">
        <f>IFERROR(__xludf.DUMMYFUNCTION("""COMPUTED_VALUE"""),"Veronica")</f>
        <v>Veronica</v>
      </c>
      <c r="B73" s="204" t="str">
        <f>IFERROR(__xludf.DUMMYFUNCTION("""COMPUTED_VALUE"""),"Vim")</f>
        <v>Vim</v>
      </c>
      <c r="C73" s="204">
        <f>IFERROR(__xludf.DUMMYFUNCTION("""COMPUTED_VALUE"""),46.0)</f>
        <v>46</v>
      </c>
      <c r="D73" s="206" t="str">
        <f>IFERROR(__xludf.DUMMYFUNCTION("""COMPUTED_VALUE"""),"MP +30")</f>
        <v>MP +30</v>
      </c>
    </row>
    <row r="74">
      <c r="A74" s="193" t="str">
        <f>IFERROR(__xludf.DUMMYFUNCTION("""COMPUTED_VALUE"""),"Serena")</f>
        <v>Serena</v>
      </c>
      <c r="B74" s="93" t="str">
        <f>IFERROR(__xludf.DUMMYFUNCTION("""COMPUTED_VALUE"""),"Harpistry")</f>
        <v>Harpistry</v>
      </c>
      <c r="C74" s="196">
        <f>IFERROR(__xludf.DUMMYFUNCTION("""COMPUTED_VALUE"""),54.0)</f>
        <v>54</v>
      </c>
      <c r="D74" s="145" t="str">
        <f>IFERROR(__xludf.DUMMYFUNCTION("""COMPUTED_VALUE"""),"MP +20")</f>
        <v>MP +20</v>
      </c>
    </row>
    <row r="75">
      <c r="A75" s="203" t="str">
        <f>IFERROR(__xludf.DUMMYFUNCTION("""COMPUTED_VALUE"""),"Sylvando")</f>
        <v>Sylvando</v>
      </c>
      <c r="B75" s="204" t="str">
        <f>IFERROR(__xludf.DUMMYFUNCTION("""COMPUTED_VALUE"""),"Showmanship")</f>
        <v>Showmanship</v>
      </c>
      <c r="C75" s="204">
        <f>IFERROR(__xludf.DUMMYFUNCTION("""COMPUTED_VALUE"""),42.0)</f>
        <v>42</v>
      </c>
      <c r="D75" s="206" t="str">
        <f>IFERROR(__xludf.DUMMYFUNCTION("""COMPUTED_VALUE"""),"Charm +40")</f>
        <v>Charm +40</v>
      </c>
    </row>
    <row r="76">
      <c r="A76" s="193" t="str">
        <f>IFERROR(__xludf.DUMMYFUNCTION("""COMPUTED_VALUE"""),"Rab")</f>
        <v>Rab</v>
      </c>
      <c r="B76" s="93" t="str">
        <f>IFERROR(__xludf.DUMMYFUNCTION("""COMPUTED_VALUE"""),"Enlightenment")</f>
        <v>Enlightenment</v>
      </c>
      <c r="C76" s="93">
        <f>IFERROR(__xludf.DUMMYFUNCTION("""COMPUTED_VALUE"""),63.0)</f>
        <v>63</v>
      </c>
      <c r="D76" s="145" t="str">
        <f>IFERROR(__xludf.DUMMYFUNCTION("""COMPUTED_VALUE"""),"Agility +20")</f>
        <v>Agility +20</v>
      </c>
    </row>
    <row r="77">
      <c r="A77" s="207" t="str">
        <f>IFERROR(__xludf.DUMMYFUNCTION("""COMPUTED_VALUE"""),"Jade")</f>
        <v>Jade</v>
      </c>
      <c r="B77" s="204" t="str">
        <f>IFERROR(__xludf.DUMMYFUNCTION("""COMPUTED_VALUE"""),"Fisticuffs")</f>
        <v>Fisticuffs</v>
      </c>
      <c r="C77" s="204">
        <f>IFERROR(__xludf.DUMMYFUNCTION("""COMPUTED_VALUE"""),32.0)</f>
        <v>32</v>
      </c>
      <c r="D77" s="206" t="str">
        <f>IFERROR(__xludf.DUMMYFUNCTION("""COMPUTED_VALUE"""),"HP +30")</f>
        <v>HP +30</v>
      </c>
    </row>
    <row r="78">
      <c r="A78" s="193" t="str">
        <f>IFERROR(__xludf.DUMMYFUNCTION("""COMPUTED_VALUE"""),"Eight")</f>
        <v>Eight</v>
      </c>
      <c r="B78" s="93" t="str">
        <f>IFERROR(__xludf.DUMMYFUNCTION("""COMPUTED_VALUE"""),"Fraternity")</f>
        <v>Fraternity</v>
      </c>
      <c r="C78" s="93">
        <f>IFERROR(__xludf.DUMMYFUNCTION("""COMPUTED_VALUE"""),25.0)</f>
        <v>25</v>
      </c>
      <c r="D78" s="145" t="str">
        <f>IFERROR(__xludf.DUMMYFUNCTION("""COMPUTED_VALUE"""),"Magical Mending +20")</f>
        <v>Magical Mending +20</v>
      </c>
    </row>
  </sheetData>
  <mergeCells count="18">
    <mergeCell ref="A1:D1"/>
    <mergeCell ref="A26:D26"/>
    <mergeCell ref="A30:D30"/>
    <mergeCell ref="A31:D31"/>
    <mergeCell ref="A36:D36"/>
    <mergeCell ref="A38:D38"/>
    <mergeCell ref="A42:D42"/>
    <mergeCell ref="A61:D61"/>
    <mergeCell ref="A63:D63"/>
    <mergeCell ref="A68:D68"/>
    <mergeCell ref="A69:D69"/>
    <mergeCell ref="A44:D44"/>
    <mergeCell ref="A46:D46"/>
    <mergeCell ref="A48:D48"/>
    <mergeCell ref="A50:D50"/>
    <mergeCell ref="A52:D52"/>
    <mergeCell ref="A55:D55"/>
    <mergeCell ref="A59:D5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63"/>
  </cols>
  <sheetData>
    <row r="1">
      <c r="A1" s="208" t="str">
        <f>IFERROR(__xludf.DUMMYFUNCTION("IMPORTRANGE(""1pGQGO9M_OLNstXbY45t1_zMDCLpiw8pwB7y8fM3IKkA"",""Postgame Events!A1:A100"")"),"Before heading to the events at the Forbidden Tower, there are events viewable at Puerto Valor and Dundrasil.")</f>
        <v>Before heading to the events at the Forbidden Tower, there are events viewable at Puerto Valor and Dundrasil.</v>
      </c>
    </row>
    <row r="2">
      <c r="A2" t="str">
        <f>IFERROR(__xludf.DUMMYFUNCTION("""COMPUTED_VALUE"""),"Cobblestone")</f>
        <v>Cobblestone</v>
      </c>
    </row>
    <row r="3">
      <c r="A3" t="str">
        <f>IFERROR(__xludf.DUMMYFUNCTION("""COMPUTED_VALUE"""),"Speak to Gemma to begin rebuilding the town and looking for recruits")</f>
        <v>Speak to Gemma to begin rebuilding the town and looking for recruits</v>
      </c>
    </row>
    <row r="4">
      <c r="A4" t="str">
        <f>IFERROR(__xludf.DUMMYFUNCTION("""COMPUTED_VALUE"""),"1. Go through Cobblestone Tor and rescue the merchant, receive Spectralite")</f>
        <v>1. Go through Cobblestone Tor and rescue the merchant, receive Spectralite</v>
      </c>
    </row>
    <row r="5">
      <c r="A5" t="str">
        <f>IFERROR(__xludf.DUMMYFUNCTION("""COMPUTED_VALUE"""),"2. Complete the Gondolia events")</f>
        <v>2. Complete the Gondolia events</v>
      </c>
    </row>
    <row r="6">
      <c r="A6" t="str">
        <f>IFERROR(__xludf.DUMMYFUNCTION("""COMPUTED_VALUE"""),"3. Complete the Octagonia events")</f>
        <v>3. Complete the Octagonia events</v>
      </c>
    </row>
    <row r="7">
      <c r="A7" t="str">
        <f>IFERROR(__xludf.DUMMYFUNCTION("""COMPUTED_VALUE"""),"4. Defeat the boss in the Hekswood with Zap magic category")</f>
        <v>4. Defeat the boss in the Hekswood with Zap magic category</v>
      </c>
    </row>
    <row r="8">
      <c r="A8" t="str">
        <f>IFERROR(__xludf.DUMMYFUNCTION("""COMPUTED_VALUE"""),"Construction completed afterwards, new charm from Gemma, new shop (only renewable source of Pep Pops, 200,000G)")</f>
        <v>Construction completed afterwards, new charm from Gemma, new shop (only renewable source of Pep Pops, 200,000G)</v>
      </c>
    </row>
    <row r="9">
      <c r="A9" s="209"/>
    </row>
    <row r="10">
      <c r="A10" t="str">
        <f>IFERROR(__xludf.DUMMYFUNCTION("""COMPUTED_VALUE"""),"Heliodor")</f>
        <v>Heliodor</v>
      </c>
    </row>
    <row r="11">
      <c r="A11" t="str">
        <f>IFERROR(__xludf.DUMMYFUNCTION("""COMPUTED_VALUE"""),"Speak to the king, receive Golden Tiara on the way out.")</f>
        <v>Speak to the king, receive Golden Tiara on the way out.</v>
      </c>
    </row>
    <row r="12">
      <c r="A12" s="209"/>
    </row>
    <row r="13">
      <c r="A13" t="str">
        <f>IFERROR(__xludf.DUMMYFUNCTION("""COMPUTED_VALUE"""),"Hotto")</f>
        <v>Hotto</v>
      </c>
    </row>
    <row r="14">
      <c r="A14" t="str">
        <f>IFERROR(__xludf.DUMMYFUNCTION("""COMPUTED_VALUE"""),"Sell Orichalcum to the blacksmith outside the western item shop for 22,500.  (Harvest at Battleground 9F, behind the Ultimate Key Door)")</f>
        <v>Sell Orichalcum to the blacksmith outside the western item shop for 22,500.  (Harvest at Battleground 9F, behind the Ultimate Key Door)</v>
      </c>
    </row>
    <row r="15">
      <c r="A15" t="str">
        <f>IFERROR(__xludf.DUMMYFUNCTION("""COMPUTED_VALUE"""),"Purchase Sword of Kings at item shop the next day for 35,000, used in creation of Supreme Sword of Light")</f>
        <v>Purchase Sword of Kings at item shop the next day for 35,000, used in creation of Supreme Sword of Light</v>
      </c>
    </row>
    <row r="16">
      <c r="A16" s="209"/>
    </row>
    <row r="17">
      <c r="A17" t="str">
        <f>IFERROR(__xludf.DUMMYFUNCTION("""COMPUTED_VALUE"""),"Mount Huji")</f>
        <v>Mount Huji</v>
      </c>
    </row>
    <row r="18">
      <c r="A18" t="str">
        <f>IFERROR(__xludf.DUMMYFUNCTION("""COMPUTED_VALUE"""),"Speak to Miko in the dragon area")</f>
        <v>Speak to Miko in the dragon area</v>
      </c>
    </row>
    <row r="19">
      <c r="A19" t="str">
        <f>IFERROR(__xludf.DUMMYFUNCTION("""COMPUTED_VALUE"""),"Obtain Lumen Essence at Trial Isle - Trial of the Disciple (Opens right before the final battle)")</f>
        <v>Obtain Lumen Essence at Trial Isle - Trial of the Disciple (Opens right before the final battle)</v>
      </c>
    </row>
    <row r="20">
      <c r="A20" t="str">
        <f>IFERROR(__xludf.DUMMYFUNCTION("""COMPUTED_VALUE"""),"Speak to Miko in the dragon area")</f>
        <v>Speak to Miko in the dragon area</v>
      </c>
    </row>
    <row r="21">
      <c r="A21" t="str">
        <f>IFERROR(__xludf.DUMMYFUNCTION("""COMPUTED_VALUE"""),"Speak to Miko in Hotto for Crucible Key.  Speak to Ryu for Erik's Thousand-Fold Katana (Sword ; ;)")</f>
        <v>Speak to Miko in Hotto for Crucible Key.  Speak to Ryu for Erik's Thousand-Fold Katana (Sword ; ;)</v>
      </c>
    </row>
    <row r="22">
      <c r="A22" t="str">
        <f>IFERROR(__xludf.DUMMYFUNCTION("""COMPUTED_VALUE"""),"The Crucible in Mt. Huji can be used to craft a Sword of Light, requires Forging Hammer from Gallopolis")</f>
        <v>The Crucible in Mt. Huji can be used to craft a Sword of Light, requires Forging Hammer from Gallopolis</v>
      </c>
    </row>
    <row r="23">
      <c r="A23" s="209"/>
    </row>
    <row r="24">
      <c r="A24" t="str">
        <f>IFERROR(__xludf.DUMMYFUNCTION("""COMPUTED_VALUE"""),"Gallopolis")</f>
        <v>Gallopolis</v>
      </c>
    </row>
    <row r="25">
      <c r="A25" t="str">
        <f>IFERROR(__xludf.DUMMYFUNCTION("""COMPUTED_VALUE"""),"Complete the Platinum Cup (Easy) to receive the Forging Hammer")</f>
        <v>Complete the Platinum Cup (Easy) to receive the Forging Hammer</v>
      </c>
    </row>
    <row r="26">
      <c r="A26" s="209"/>
    </row>
    <row r="27">
      <c r="A27" t="str">
        <f>IFERROR(__xludf.DUMMYFUNCTION("""COMPUTED_VALUE"""),"Gondolia")</f>
        <v>Gondolia</v>
      </c>
    </row>
    <row r="28">
      <c r="A28" t="str">
        <f>IFERROR(__xludf.DUMMYFUNCTION("""COMPUTED_VALUE"""),"Go around and defeat all the monsters, they will all respawn if you leave the town")</f>
        <v>Go around and defeat all the monsters, they will all respawn if you leave the town</v>
      </c>
    </row>
    <row r="29">
      <c r="A29" t="str">
        <f>IFERROR(__xludf.DUMMYFUNCTION("""COMPUTED_VALUE"""),"Receive Thunderstorm Sword")</f>
        <v>Receive Thunderstorm Sword</v>
      </c>
    </row>
    <row r="30">
      <c r="A30" t="str">
        <f>IFERROR(__xludf.DUMMYFUNCTION("""COMPUTED_VALUE"""),"Speak to Noah near the entrance for the Cobblestone event")</f>
        <v>Speak to Noah near the entrance for the Cobblestone event</v>
      </c>
    </row>
    <row r="31">
      <c r="A31" t="str">
        <f>IFERROR(__xludf.DUMMYFUNCTION("""COMPUTED_VALUE"""),"The stalls with the competitive brothers will offer the Divine Bustier costume/armor.  Minimum price will be 20,000")</f>
        <v>The stalls with the competitive brothers will offer the Divine Bustier costume/armor.  Minimum price will be 20,000</v>
      </c>
    </row>
    <row r="32">
      <c r="A32" t="str">
        <f>IFERROR(__xludf.DUMMYFUNCTION("""COMPUTED_VALUE"""),"Talk to Noah in Cobblestone when events there are complete for Noah's Archive, shows remaining trreasure in area (chests. pots etc).")</f>
        <v>Talk to Noah in Cobblestone when events there are complete for Noah's Archive, shows remaining trreasure in area (chests. pots etc).</v>
      </c>
    </row>
    <row r="34">
      <c r="A34" s="209" t="str">
        <f>IFERROR(__xludf.DUMMYFUNCTION("""COMPUTED_VALUE"""),"Octagonia")</f>
        <v>Octagonia</v>
      </c>
    </row>
    <row r="35">
      <c r="A35" t="str">
        <f>IFERROR(__xludf.DUMMYFUNCTION("""COMPUTED_VALUE"""),"Boss fight below the orphanage")</f>
        <v>Boss fight below the orphanage</v>
      </c>
    </row>
    <row r="36">
      <c r="A36" t="str">
        <f>IFERROR(__xludf.DUMMYFUNCTION("""COMPUTED_VALUE"""),"Afterwards speak to the various arena competitors")</f>
        <v>Afterwards speak to the various arena competitors</v>
      </c>
    </row>
    <row r="37">
      <c r="A37" t="str">
        <f>IFERROR(__xludf.DUMMYFUNCTION("""COMPUTED_VALUE"""),"Vince: Crystal Claw")</f>
        <v>Vince: Crystal Claw</v>
      </c>
    </row>
    <row r="38">
      <c r="A38" t="str">
        <f>IFERROR(__xludf.DUMMYFUNCTION("""COMPUTED_VALUE"""),"The Underdigger in front of the orphange: They will move to Cobblestone for that event")</f>
        <v>The Underdigger in front of the orphange: They will move to Cobblestone for that event</v>
      </c>
    </row>
    <row r="39">
      <c r="A39" t="str">
        <f>IFERROR(__xludf.DUMMYFUNCTION("""COMPUTED_VALUE"""),"Golden Boy on the stage in the casino: Recipe: Dress to Impress")</f>
        <v>Golden Boy on the stage in the casino: Recipe: Dress to Impress</v>
      </c>
    </row>
    <row r="40">
      <c r="A40" t="str">
        <f>IFERROR(__xludf.DUMMYFUNCTION("""COMPUTED_VALUE"""),"Sinderella and Whambelina standing/sitting in front of the casino stage: Stellar Starflower and Stellar Suit")</f>
        <v>Sinderella and Whambelina standing/sitting in front of the casino stage: Stellar Starflower and Stellar Suit</v>
      </c>
    </row>
    <row r="42">
      <c r="A42" s="209" t="str">
        <f>IFERROR(__xludf.DUMMYFUNCTION("""COMPUTED_VALUE"""),"Ruins of Dundrasil")</f>
        <v>Ruins of Dundrasil</v>
      </c>
    </row>
    <row r="43">
      <c r="A43" t="str">
        <f>IFERROR(__xludf.DUMMYFUNCTION("""COMPUTED_VALUE"""),"Boss fight in the basement")</f>
        <v>Boss fight in the basement</v>
      </c>
    </row>
    <row r="44">
      <c r="A44" t="str">
        <f>IFERROR(__xludf.DUMMYFUNCTION("""COMPUTED_VALUE"""),"Receive: Irwin's Helm and Armour")</f>
        <v>Receive: Irwin's Helm and Armour</v>
      </c>
    </row>
    <row r="46">
      <c r="A46" s="209" t="str">
        <f>IFERROR(__xludf.DUMMYFUNCTION("""COMPUTED_VALUE"""),"Puerto Valor")</f>
        <v>Puerto Valor</v>
      </c>
    </row>
    <row r="47">
      <c r="A47" t="str">
        <f>IFERROR(__xludf.DUMMYFUNCTION("""COMPUTED_VALUE"""),"Second Floor of Rodrigo's home")</f>
        <v>Second Floor of Rodrigo's home</v>
      </c>
    </row>
    <row r="48">
      <c r="A48" t="str">
        <f>IFERROR(__xludf.DUMMYFUNCTION("""COMPUTED_VALUE"""),"Defeat bosses at Kingsbarrow with Executioner pep as the killing blow")</f>
        <v>Defeat bosses at Kingsbarrow with Executioner pep as the killing blow</v>
      </c>
    </row>
    <row r="49">
      <c r="A49" t="str">
        <f>IFERROR(__xludf.DUMMYFUNCTION("""COMPUTED_VALUE"""),"Sylvando and Eight's skill trees will be expanded, and they will learn a new pep")</f>
        <v>Sylvando and Eight's skill trees will be expanded, and they will learn a new pep</v>
      </c>
    </row>
    <row r="51">
      <c r="A51" s="209" t="str">
        <f>IFERROR(__xludf.DUMMYFUNCTION("""COMPUTED_VALUE"""),"Lonalulu")</f>
        <v>Lonalulu</v>
      </c>
    </row>
    <row r="52">
      <c r="A52" t="str">
        <f>IFERROR(__xludf.DUMMYFUNCTION("""COMPUTED_VALUE"""),"Learn about Kai's problem")</f>
        <v>Learn about Kai's problem</v>
      </c>
    </row>
    <row r="53">
      <c r="A53" t="str">
        <f>IFERROR(__xludf.DUMMYFUNCTION("""COMPUTED_VALUE"""),"Defeat the boss at the Strand")</f>
        <v>Defeat the boss at the Strand</v>
      </c>
    </row>
    <row r="54">
      <c r="A54" t="str">
        <f>IFERROR(__xludf.DUMMYFUNCTION("""COMPUTED_VALUE"""),"Receive the Pirate King's Cap")</f>
        <v>Receive the Pirate King's Cap</v>
      </c>
    </row>
    <row r="56">
      <c r="A56" s="209" t="str">
        <f>IFERROR(__xludf.DUMMYFUNCTION("""COMPUTED_VALUE"""),"Nautica")</f>
        <v>Nautica</v>
      </c>
    </row>
    <row r="57">
      <c r="A57" t="str">
        <f>IFERROR(__xludf.DUMMYFUNCTION("""COMPUTED_VALUE"""),"Speak to the Queen")</f>
        <v>Speak to the Queen</v>
      </c>
    </row>
    <row r="58">
      <c r="A58" t="str">
        <f>IFERROR(__xludf.DUMMYFUNCTION("""COMPUTED_VALUE"""),"Boss fight when you approach the island in the northeast (unaccessible island, northeast of the ""slime"" island Orientalis")</f>
        <v>Boss fight when you approach the island in the northeast (unaccessible island, northeast of the "slime" island Orientalis</v>
      </c>
    </row>
    <row r="59">
      <c r="A59" t="str">
        <f>IFERROR(__xludf.DUMMYFUNCTION("""COMPUTED_VALUE"""),"Receive Sea Queen's Conch key item (Speak with her from anywhere for advice)")</f>
        <v>Receive Sea Queen's Conch key item (Speak with her from anywhere for advice)</v>
      </c>
    </row>
    <row r="61">
      <c r="A61" s="209" t="str">
        <f>IFERROR(__xludf.DUMMYFUNCTION("""COMPUTED_VALUE"""),"Phnom Nonh")</f>
        <v>Phnom Nonh</v>
      </c>
    </row>
    <row r="62">
      <c r="A62" t="str">
        <f>IFERROR(__xludf.DUMMYFUNCTION("""COMPUTED_VALUE"""),"Head to the end of the Other Side and defeat the boss")</f>
        <v>Head to the end of the Other Side and defeat the boss</v>
      </c>
    </row>
    <row r="63">
      <c r="A63" t="str">
        <f>IFERROR(__xludf.DUMMYFUNCTION("""COMPUTED_VALUE"""),"Talk to the child for Mini Medal x10")</f>
        <v>Talk to the child for Mini Medal x10</v>
      </c>
    </row>
    <row r="65">
      <c r="A65" s="209" t="str">
        <f>IFERROR(__xludf.DUMMYFUNCTION("""COMPUTED_VALUE"""),"Sniflheim")</f>
        <v>Sniflheim</v>
      </c>
    </row>
    <row r="66">
      <c r="A66" t="str">
        <f>IFERROR(__xludf.DUMMYFUNCTION("""COMPUTED_VALUE"""),"Serpent's Soul can be exchanted with Crystalinda in the throne room for Black Tear, Kaleidocloth, or Crimsonite")</f>
        <v>Serpent's Soul can be exchanted with Crystalinda in the throne room for Black Tear, Kaleidocloth, or Crimsonite</v>
      </c>
    </row>
    <row r="67">
      <c r="A67" t="str">
        <f>IFERROR(__xludf.DUMMYFUNCTION("""COMPUTED_VALUE"""),"Speak to the Queen")</f>
        <v>Speak to the Queen</v>
      </c>
    </row>
    <row r="68">
      <c r="A68" t="str">
        <f>IFERROR(__xludf.DUMMYFUNCTION("""COMPUTED_VALUE"""),"Defeat the boss at the southeast of the Snaerfelt")</f>
        <v>Defeat the boss at the southeast of the Snaerfelt</v>
      </c>
    </row>
    <row r="69">
      <c r="A69" t="str">
        <f>IFERROR(__xludf.DUMMYFUNCTION("""COMPUTED_VALUE"""),"Speak to the Queen and receive High-Born Blade (Dagger)")</f>
        <v>Speak to the Queen and receive High-Born Blade (Dagger)</v>
      </c>
    </row>
    <row r="71">
      <c r="A71" s="209" t="str">
        <f>IFERROR(__xludf.DUMMYFUNCTION("""COMPUTED_VALUE"""),"Erik and Mia's Shelter")</f>
        <v>Erik and Mia's Shelter</v>
      </c>
    </row>
    <row r="72">
      <c r="A72" t="str">
        <f>IFERROR(__xludf.DUMMYFUNCTION("""COMPUTED_VALUE"""),"Go inside and receive Pirate King's Necklace")</f>
        <v>Go inside and receive Pirate King's Necklace</v>
      </c>
    </row>
    <row r="74">
      <c r="A74" s="209" t="str">
        <f>IFERROR(__xludf.DUMMYFUNCTION("""COMPUTED_VALUE"""),"Angri-La")</f>
        <v>Angri-La</v>
      </c>
    </row>
    <row r="75">
      <c r="A75" t="str">
        <f>IFERROR(__xludf.DUMMYFUNCTION("""COMPUTED_VALUE"""),"The remaining trials are available")</f>
        <v>The remaining trials are available</v>
      </c>
    </row>
    <row r="77">
      <c r="A77" s="209" t="str">
        <f>IFERROR(__xludf.DUMMYFUNCTION("""COMPUTED_VALUE"""),"World Tree")</f>
        <v>World Tree</v>
      </c>
    </row>
    <row r="78">
      <c r="A78" t="str">
        <f>IFERROR(__xludf.DUMMYFUNCTION("""COMPUTED_VALUE"""),"A sparkly point has been added with Yggdrasil Dew")</f>
        <v>A sparkly point has been added with Yggdrasil Dew</v>
      </c>
    </row>
    <row r="80">
      <c r="A80" s="209" t="str">
        <f>IFERROR(__xludf.DUMMYFUNCTION("""COMPUTED_VALUE"""),"Warriors Rest Inn")</f>
        <v>Warriors Rest Inn</v>
      </c>
    </row>
    <row r="81">
      <c r="A81" t="str">
        <f>IFERROR(__xludf.DUMMYFUNCTION("""COMPUTED_VALUE"""),"The Trial Isle can be accessed from the ruins to the west of the inn, once you advance the story to just before the postgame final boss.")</f>
        <v>The Trial Isle can be accessed from the ruins to the west of the inn, once you advance the story to just before the postgame final boss.</v>
      </c>
    </row>
    <row r="82">
      <c r="A82" t="str">
        <f>IFERROR(__xludf.DUMMYFUNCTION("""COMPUTED_VALUE"""),"There are 3 trials, each time you reach the bottom you will fight a boss, boss is unrelated to trial, can do whichever you want.")</f>
        <v>There are 3 trials, each time you reach the bottom you will fight a boss, boss is unrelated to trial, can do whichever you want.</v>
      </c>
    </row>
    <row r="83">
      <c r="A83" t="str">
        <f>IFERROR(__xludf.DUMMYFUNCTION("""COMPUTED_VALUE"""),"Clear the boss within the turn limit to receive a wish, it will be a harder boss after each success")</f>
        <v>Clear the boss within the turn limit to receive a wish, it will be a harder boss after each success</v>
      </c>
    </row>
    <row r="84">
      <c r="A84" t="str">
        <f>IFERROR(__xludf.DUMMYFUNCTION("""COMPUTED_VALUE"""),"Wishes: Recipe for Supreme Sword of Light (Trophy), Marriage (Trophy), Ring of Changing (Trophy), Horse Black Cup, Porn")</f>
        <v>Wishes: Recipe for Supreme Sword of Light (Trophy), Marriage (Trophy), Ring of Changing (Trophy), Horse Black Cup, Porn</v>
      </c>
    </row>
    <row r="85">
      <c r="A85" t="str">
        <f>IFERROR(__xludf.DUMMYFUNCTION("""COMPUTED_VALUE"""),"Make all five wishes to receive the Recipe book for ultimate form of the evolution weapons")</f>
        <v>Make all five wishes to receive the Recipe book for ultimate form of the evolution weapons</v>
      </c>
    </row>
    <row r="86">
      <c r="A86" t="str">
        <f>IFERROR(__xludf.DUMMYFUNCTION("""COMPUTED_VALUE"""),"Returning to the bottom of any trial will let you refight a boss of your choosing, reward is a random stat seed")</f>
        <v>Returning to the bottom of any trial will let you refight a boss of your choosing, reward is a random stat seed</v>
      </c>
    </row>
    <row r="88">
      <c r="A88" s="209" t="str">
        <f>IFERROR(__xludf.DUMMYFUNCTION("""COMPUTED_VALUE"""),"Forging the Supreme Sword of Light")</f>
        <v>Forging the Supreme Sword of Light</v>
      </c>
    </row>
    <row r="89">
      <c r="A89" t="str">
        <f>IFERROR(__xludf.DUMMYFUNCTION("""COMPUTED_VALUE"""),"Complete the Hotto and Gallopolis Events and buy the Sword of Kings")</f>
        <v>Complete the Hotto and Gallopolis Events and buy the Sword of Kings</v>
      </c>
    </row>
    <row r="90">
      <c r="A90" t="str">
        <f>IFERROR(__xludf.DUMMYFUNCTION("""COMPUTED_VALUE"""),"Head to the Crucible in Mount Huji to forge a Sword of Light")</f>
        <v>Head to the Crucible in Mount Huji to forge a Sword of Light</v>
      </c>
    </row>
    <row r="91">
      <c r="A91" t="str">
        <f>IFERROR(__xludf.DUMMYFUNCTION("""COMPUTED_VALUE"""),"Complete one of the trials to earn a wish to receive the recipe")</f>
        <v>Complete one of the trials to earn a wish to receive the recipe</v>
      </c>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106.38"/>
  </cols>
  <sheetData>
    <row r="1">
      <c r="A1" s="210" t="str">
        <f>IFERROR(__xludf.DUMMYFUNCTION("IMPORTRANGE(""1pGQGO9M_OLNstXbY45t1_zMDCLpiw8pwB7y8fM3IKkA"",""Postgame Gear!A1:B100"")"),"Evolution Weapons")</f>
        <v>Evolution Weapons</v>
      </c>
      <c r="B1" s="211" t="str">
        <f>IFERROR(__xludf.DUMMYFUNCTION("""COMPUTED_VALUE"""),"Upgrade recipes are in the ""Hero's Book of"" series")</f>
        <v>Upgrade recipes are in the "Hero's Book of" series</v>
      </c>
    </row>
    <row r="2">
      <c r="A2" t="str">
        <f>IFERROR(__xludf.DUMMYFUNCTION("""COMPUTED_VALUE"""),"Stardust Sword")</f>
        <v>Stardust Sword</v>
      </c>
      <c r="B2" s="212" t="str">
        <f>IFERROR(__xludf.DUMMYFUNCTION("""COMPUTED_VALUE"""),"Final Dungeon, or First Forest Whale Way in postgame")</f>
        <v>Final Dungeon, or First Forest Whale Way in postgame</v>
      </c>
    </row>
    <row r="3">
      <c r="A3" t="str">
        <f>IFERROR(__xludf.DUMMYFUNCTION("""COMPUTED_VALUE"""),"Deft Dagger")</f>
        <v>Deft Dagger</v>
      </c>
      <c r="B3" s="212" t="str">
        <f>IFERROR(__xludf.DUMMYFUNCTION("""COMPUTED_VALUE"""),"Mini Medal Stamp: 65")</f>
        <v>Mini Medal Stamp: 65</v>
      </c>
    </row>
    <row r="4">
      <c r="A4" t="str">
        <f>IFERROR(__xludf.DUMMYFUNCTION("""COMPUTED_VALUE"""),"Meteorang")</f>
        <v>Meteorang</v>
      </c>
      <c r="B4" s="212" t="str">
        <f>IFERROR(__xludf.DUMMYFUNCTION("""COMPUTED_VALUE"""),"Found in Manglegrove Whale Way")</f>
        <v>Found in Manglegrove Whale Way</v>
      </c>
    </row>
    <row r="5">
      <c r="A5" t="str">
        <f>IFERROR(__xludf.DUMMYFUNCTION("""COMPUTED_VALUE"""),"Bright Staff")</f>
        <v>Bright Staff</v>
      </c>
      <c r="B5" s="212" t="str">
        <f>IFERROR(__xludf.DUMMYFUNCTION("""COMPUTED_VALUE"""),"Wheel of Harma: Third Trial (15 Moves)")</f>
        <v>Wheel of Harma: Third Trial (15 Moves)</v>
      </c>
    </row>
    <row r="6">
      <c r="A6" t="str">
        <f>IFERROR(__xludf.DUMMYFUNCTION("""COMPUTED_VALUE"""),"Poker")</f>
        <v>Poker</v>
      </c>
      <c r="B6" s="212" t="str">
        <f>IFERROR(__xludf.DUMMYFUNCTION("""COMPUTED_VALUE"""),"Final Dungeon, or First Forest Whale Way in postgame")</f>
        <v>Final Dungeon, or First Forest Whale Way in postgame</v>
      </c>
    </row>
    <row r="7">
      <c r="A7" t="str">
        <f>IFERROR(__xludf.DUMMYFUNCTION("""COMPUTED_VALUE"""),"Gringham Whip")</f>
        <v>Gringham Whip</v>
      </c>
      <c r="B7" s="212" t="str">
        <f>IFERROR(__xludf.DUMMYFUNCTION("""COMPUTED_VALUE"""),"Octagonia Casino: 750,000 Tokens")</f>
        <v>Octagonia Casino: 750,000 Tokens</v>
      </c>
    </row>
    <row r="8">
      <c r="A8" t="str">
        <f>IFERROR(__xludf.DUMMYFUNCTION("""COMPUTED_VALUE"""),"Beastmaster Claws")</f>
        <v>Beastmaster Claws</v>
      </c>
      <c r="B8" s="212" t="str">
        <f>IFERROR(__xludf.DUMMYFUNCTION("""COMPUTED_VALUE"""),"Wheel of Harma: Third Trial (20 Moves)")</f>
        <v>Wheel of Harma: Third Trial (20 Moves)</v>
      </c>
    </row>
    <row r="9">
      <c r="A9" t="str">
        <f>IFERROR(__xludf.DUMMYFUNCTION("""COMPUTED_VALUE"""),"Bad Axe")</f>
        <v>Bad Axe</v>
      </c>
      <c r="B9" s="212" t="str">
        <f>IFERROR(__xludf.DUMMYFUNCTION("""COMPUTED_VALUE"""),"Found in the Battleground")</f>
        <v>Found in the Battleground</v>
      </c>
    </row>
    <row r="10">
      <c r="A10" s="213" t="str">
        <f>IFERROR(__xludf.DUMMYFUNCTION("""COMPUTED_VALUE"""),"Notable Non-Evolution Weapons")</f>
        <v>Notable Non-Evolution Weapons</v>
      </c>
      <c r="B10" s="214"/>
    </row>
    <row r="11">
      <c r="A11" t="str">
        <f>IFERROR(__xludf.DUMMYFUNCTION("""COMPUTED_VALUE"""),"Sage's Staff")</f>
        <v>Sage's Staff</v>
      </c>
      <c r="B11" s="212" t="str">
        <f>IFERROR(__xludf.DUMMYFUNCTION("""COMPUTED_VALUE"""),"Use it from inventory for Insulatle, purchase in Octagonia, Lonalulu, Sniflheim")</f>
        <v>Use it from inventory for Insulatle, purchase in Octagonia, Lonalulu, Sniflheim</v>
      </c>
    </row>
    <row r="12">
      <c r="A12" t="str">
        <f>IFERROR(__xludf.DUMMYFUNCTION("""COMPUTED_VALUE"""),"Brilliant Blade")</f>
        <v>Brilliant Blade</v>
      </c>
      <c r="B12" s="212" t="str">
        <f>IFERROR(__xludf.DUMMYFUNCTION("""COMPUTED_VALUE"""),"Wheel of Harma: Final Trial (30 Moves), strongest greatsword")</f>
        <v>Wheel of Harma: Final Trial (30 Moves), strongest greatsword</v>
      </c>
    </row>
    <row r="13">
      <c r="A13" t="str">
        <f>IFERROR(__xludf.DUMMYFUNCTION("""COMPUTED_VALUE"""),"Hunter's Moon")</f>
        <v>Hunter's Moon</v>
      </c>
      <c r="B13" s="212" t="str">
        <f>IFERROR(__xludf.DUMMYFUNCTION("""COMPUTED_VALUE"""),"Boomerang, does full damage to all enemies, 125 Attack versus 141 on final evolution, consider making 2")</f>
        <v>Boomerang, does full damage to all enemies, 125 Attack versus 141 on final evolution, consider making 2</v>
      </c>
    </row>
    <row r="14">
      <c r="A14" t="str">
        <f>IFERROR(__xludf.DUMMYFUNCTION("""COMPUTED_VALUE"""),"Faerie King's Cane")</f>
        <v>Faerie King's Cane</v>
      </c>
      <c r="B14" s="212" t="str">
        <f>IFERROR(__xludf.DUMMYFUNCTION("""COMPUTED_VALUE"""),"Wheel of Harma: Final Trial (40 Moves), 25 HP/Turn, All damage reduced by 10%")</f>
        <v>Wheel of Harma: Final Trial (40 Moves), 25 HP/Turn, All damage reduced by 10%</v>
      </c>
    </row>
    <row r="15">
      <c r="A15" t="str">
        <f>IFERROR(__xludf.DUMMYFUNCTION("""COMPUTED_VALUE"""),"Sceptre of Time")</f>
        <v>Sceptre of Time</v>
      </c>
      <c r="B15" s="212" t="str">
        <f>IFERROR(__xludf.DUMMYFUNCTION("""COMPUTED_VALUE"""),"Rusty Sceptre from story, upgrade recipe from Luminary's Trial, 10 MP/Turn")</f>
        <v>Rusty Sceptre from story, upgrade recipe from Luminary's Trial, 10 MP/Turn</v>
      </c>
    </row>
    <row r="16">
      <c r="A16" t="str">
        <f>IFERROR(__xludf.DUMMYFUNCTION("""COMPUTED_VALUE"""),"Drustan's Sword")</f>
        <v>Drustan's Sword</v>
      </c>
      <c r="B16" s="212" t="str">
        <f>IFERROR(__xludf.DUMMYFUNCTION("""COMPUTED_VALUE"""),"Enemies are more likely to attack the owner")</f>
        <v>Enemies are more likely to attack the owner</v>
      </c>
    </row>
    <row r="17">
      <c r="A17" t="str">
        <f>IFERROR(__xludf.DUMMYFUNCTION("""COMPUTED_VALUE"""),"Supreme Sword of Light")</f>
        <v>Supreme Sword of Light</v>
      </c>
      <c r="B17" s="212" t="str">
        <f>IFERROR(__xludf.DUMMYFUNCTION("""COMPUTED_VALUE"""),"Recipe from Wish at Trial Isle, check postgame events for more details")</f>
        <v>Recipe from Wish at Trial Isle, check postgame events for more details</v>
      </c>
    </row>
    <row r="18">
      <c r="A18" s="215" t="str">
        <f>IFERROR(__xludf.DUMMYFUNCTION("""COMPUTED_VALUE"""),"All categories")</f>
        <v>All categories</v>
      </c>
      <c r="B18" s="216" t="str">
        <f>IFERROR(__xludf.DUMMYFUNCTION("""COMPUTED_VALUE"""),"Big Hitters on the Battlefield Recipe series")</f>
        <v>Big Hitters on the Battlefield Recipe series</v>
      </c>
    </row>
    <row r="19">
      <c r="A19" s="213" t="str">
        <f>IFERROR(__xludf.DUMMYFUNCTION("""COMPUTED_VALUE"""),"Shields")</f>
        <v>Shields</v>
      </c>
      <c r="B19" s="214"/>
    </row>
    <row r="20">
      <c r="A20" t="str">
        <f>IFERROR(__xludf.DUMMYFUNCTION("""COMPUTED_VALUE"""),"Drustan's Shield")</f>
        <v>Drustan's Shield</v>
      </c>
      <c r="B20" s="212" t="str">
        <f>IFERROR(__xludf.DUMMYFUNCTION("""COMPUTED_VALUE"""),"Elemental damage reduced by 25%, 25 HP/Turn, 14% Block, from Sage's Trial - Hoarder's Keep")</f>
        <v>Elemental damage reduced by 25%, 25 HP/Turn, 14% Block, from Sage's Trial - Hoarder's Keep</v>
      </c>
    </row>
    <row r="21">
      <c r="A21" t="str">
        <f>IFERROR(__xludf.DUMMYFUNCTION("""COMPUTED_VALUE"""),"Erdwin's Shield")</f>
        <v>Erdwin's Shield</v>
      </c>
      <c r="B21" s="212" t="str">
        <f>IFERROR(__xludf.DUMMYFUNCTION("""COMPUTED_VALUE"""),"10 MP/Turn, useful with Omniheal")</f>
        <v>10 MP/Turn, useful with Omniheal</v>
      </c>
    </row>
    <row r="22">
      <c r="A22" s="213" t="str">
        <f>IFERROR(__xludf.DUMMYFUNCTION("""COMPUTED_VALUE"""),"Metal King Shield")</f>
        <v>Metal King Shield</v>
      </c>
      <c r="B22" s="211" t="str">
        <f>IFERROR(__xludf.DUMMYFUNCTION("""COMPUTED_VALUE"""),"Elemental damage reduced by 10%, recipe from 110 Mini Medal Stamps")</f>
        <v>Elemental damage reduced by 10%, recipe from 110 Mini Medal Stamps</v>
      </c>
    </row>
    <row r="23">
      <c r="A23" t="str">
        <f>IFERROR(__xludf.DUMMYFUNCTION("""COMPUTED_VALUE"""),"Final Costume Hats")</f>
        <v>Final Costume Hats</v>
      </c>
      <c r="B23" s="212" t="str">
        <f>IFERROR(__xludf.DUMMYFUNCTION("""COMPUTED_VALUE"""),"Check Costume tab for locations")</f>
        <v>Check Costume tab for locations</v>
      </c>
    </row>
    <row r="24">
      <c r="A24" t="str">
        <f>IFERROR(__xludf.DUMMYFUNCTION("""COMPUTED_VALUE"""),"Erdwin's Coronet (Hero)")</f>
        <v>Erdwin's Coronet (Hero)</v>
      </c>
      <c r="B24" s="212" t="str">
        <f>IFERROR(__xludf.DUMMYFUNCTION("""COMPUTED_VALUE"""),"Sleep, Confuse, Spell Seal, Instadeath reduced by 50%, Chest: Luminary's Trial")</f>
        <v>Sleep, Confuse, Spell Seal, Instadeath reduced by 50%, Chest: Luminary's Trial</v>
      </c>
    </row>
    <row r="25">
      <c r="A25" t="str">
        <f>IFERROR(__xludf.DUMMYFUNCTION("""COMPUTED_VALUE"""),"Pirate King's Cap")</f>
        <v>Pirate King's Cap</v>
      </c>
      <c r="B25" s="212" t="str">
        <f>IFERROR(__xludf.DUMMYFUNCTION("""COMPUTED_VALUE"""),"Lightning damage reduced by 50%, Evasion +2%, Agility +45")</f>
        <v>Lightning damage reduced by 50%, Evasion +2%, Agility +45</v>
      </c>
    </row>
    <row r="26">
      <c r="A26" t="str">
        <f>IFERROR(__xludf.DUMMYFUNCTION("""COMPUTED_VALUE"""),"Crown of Eternity (Veronica)")</f>
        <v>Crown of Eternity (Veronica)</v>
      </c>
      <c r="B26" s="212" t="str">
        <f>IFERROR(__xludf.DUMMYFUNCTION("""COMPUTED_VALUE"""),"Critical Spell +3%, MP Steal reduced by 100%")</f>
        <v>Critical Spell +3%, MP Steal reduced by 100%</v>
      </c>
    </row>
    <row r="27">
      <c r="A27" t="str">
        <f>IFERROR(__xludf.DUMMYFUNCTION("""COMPUTED_VALUE"""),"Serenica's Circlet (Serena)")</f>
        <v>Serenica's Circlet (Serena)</v>
      </c>
      <c r="B27" s="212" t="str">
        <f>IFERROR(__xludf.DUMMYFUNCTION("""COMPUTED_VALUE"""),"10 MP/Battle, Instadeath reduced by 100%, Miss Turn reduced by 50%")</f>
        <v>10 MP/Battle, Instadeath reduced by 100%, Miss Turn reduced by 50%</v>
      </c>
    </row>
    <row r="28">
      <c r="A28" t="str">
        <f>IFERROR(__xludf.DUMMYFUNCTION("""COMPUTED_VALUE"""),"Tiara Tremendisima (Sylvando)")</f>
        <v>Tiara Tremendisima (Sylvando)</v>
      </c>
      <c r="B28" s="212" t="str">
        <f>IFERROR(__xludf.DUMMYFUNCTION("""COMPUTED_VALUE"""),"Spell Seal, Ability Seal, Sleep reduced by 50%, Charm +100")</f>
        <v>Spell Seal, Ability Seal, Sleep reduced by 50%, Charm +100</v>
      </c>
    </row>
    <row r="29">
      <c r="A29" t="str">
        <f>IFERROR(__xludf.DUMMYFUNCTION("""COMPUTED_VALUE"""),"Apollo's Crown (Rab)")</f>
        <v>Apollo's Crown (Rab)</v>
      </c>
      <c r="B29" s="212" t="str">
        <f>IFERROR(__xludf.DUMMYFUNCTION("""COMPUTED_VALUE"""),"Sleep, Confuse reduced by 100%")</f>
        <v>Sleep, Confuse reduced by 100%</v>
      </c>
    </row>
    <row r="30">
      <c r="A30" t="str">
        <f>IFERROR(__xludf.DUMMYFUNCTION("""COMPUTED_VALUE"""),"Xenlon Hair Ring (Jade)")</f>
        <v>Xenlon Hair Ring (Jade)</v>
      </c>
      <c r="B30" s="212" t="str">
        <f>IFERROR(__xludf.DUMMYFUNCTION("""COMPUTED_VALUE"""),"All status ailments reduced by 25%, Charm +125")</f>
        <v>All status ailments reduced by 25%, Charm +125</v>
      </c>
    </row>
    <row r="31">
      <c r="A31" t="str">
        <f>IFERROR(__xludf.DUMMYFUNCTION("""COMPUTED_VALUE"""),"Drustan's Helm (Eight)")</f>
        <v>Drustan's Helm (Eight)</v>
      </c>
      <c r="B31" s="212" t="str">
        <f>IFERROR(__xludf.DUMMYFUNCTION("""COMPUTED_VALUE"""),"HP +30, Charm +50, Chest: The Disciple's Trial - The Eerie Valley")</f>
        <v>HP +30, Charm +50, Chest: The Disciple's Trial - The Eerie Valley</v>
      </c>
    </row>
    <row r="32">
      <c r="A32" t="str">
        <f>IFERROR(__xludf.DUMMYFUNCTION("""COMPUTED_VALUE"""),"Golden Tiara")</f>
        <v>Golden Tiara</v>
      </c>
      <c r="B32" s="212" t="str">
        <f>IFERROR(__xludf.DUMMYFUNCTION("""COMPUTED_VALUE"""),"Female only, Sleep, Confuse, Spell Seal, Instadeath reduced by 80%, from Heliodor event")</f>
        <v>Female only, Sleep, Confuse, Spell Seal, Instadeath reduced by 80%, from Heliodor event</v>
      </c>
    </row>
    <row r="33">
      <c r="A33" t="str">
        <f>IFERROR(__xludf.DUMMYFUNCTION("""COMPUTED_VALUE"""),"Swindler King's Scarf")</f>
        <v>Swindler King's Scarf</v>
      </c>
      <c r="B33" s="212" t="str">
        <f>IFERROR(__xludf.DUMMYFUNCTION("""COMPUTED_VALUE"""),"Erik only, Steal +6%, Deftness +35, Evasion +2%")</f>
        <v>Erik only, Steal +6%, Deftness +35, Evasion +2%</v>
      </c>
    </row>
    <row r="34">
      <c r="A34" s="213" t="str">
        <f>IFERROR(__xludf.DUMMYFUNCTION("""COMPUTED_VALUE"""),"Heavenly Helm")</f>
        <v>Heavenly Helm</v>
      </c>
      <c r="B34" s="211" t="str">
        <f>IFERROR(__xludf.DUMMYFUNCTION("""COMPUTED_VALUE"""),"Poison, Instadeath, Dazzle, Confusion reduced by 20%")</f>
        <v>Poison, Instadeath, Dazzle, Confusion reduced by 20%</v>
      </c>
    </row>
    <row r="35">
      <c r="A35" t="str">
        <f>IFERROR(__xludf.DUMMYFUNCTION("""COMPUTED_VALUE"""),"Last Costume Armour")</f>
        <v>Last Costume Armour</v>
      </c>
      <c r="B35" s="212" t="str">
        <f>IFERROR(__xludf.DUMMYFUNCTION("""COMPUTED_VALUE"""),"Check Costume tab for locations")</f>
        <v>Check Costume tab for locations</v>
      </c>
    </row>
    <row r="36">
      <c r="A36" t="str">
        <f>IFERROR(__xludf.DUMMYFUNCTION("""COMPUTED_VALUE"""),"Erdwin's Tunic (Hero)")</f>
        <v>Erdwin's Tunic (Hero)</v>
      </c>
      <c r="B36" s="212" t="str">
        <f>IFERROR(__xludf.DUMMYFUNCTION("""COMPUTED_VALUE"""),"Elemental damage reduced by 25%, 10 MP/Turn")</f>
        <v>Elemental damage reduced by 25%, 10 MP/Turn</v>
      </c>
    </row>
    <row r="37">
      <c r="A37" t="str">
        <f>IFERROR(__xludf.DUMMYFUNCTION("""COMPUTED_VALUE"""),"Pirate King's Coat (Erik)")</f>
        <v>Pirate King's Coat (Erik)</v>
      </c>
      <c r="B37" s="212" t="str">
        <f>IFERROR(__xludf.DUMMYFUNCTION("""COMPUTED_VALUE"""),"Wind damage reduced by 50%, Agility +45, Evasion +4%")</f>
        <v>Wind damage reduced by 50%, Agility +45, Evasion +4%</v>
      </c>
    </row>
    <row r="38">
      <c r="A38" t="str">
        <f>IFERROR(__xludf.DUMMYFUNCTION("""COMPUTED_VALUE"""),"Gown of Eternity (Veronica)")</f>
        <v>Gown of Eternity (Veronica)</v>
      </c>
      <c r="B38" s="212" t="str">
        <f>IFERROR(__xludf.DUMMYFUNCTION("""COMPUTED_VALUE"""),"Critical Spell +4%")</f>
        <v>Critical Spell +4%</v>
      </c>
    </row>
    <row r="39">
      <c r="A39" t="str">
        <f>IFERROR(__xludf.DUMMYFUNCTION("""COMPUTED_VALUE"""),"Serenica's Surplice (Serena)")</f>
        <v>Serenica's Surplice (Serena)</v>
      </c>
      <c r="B39" s="212" t="str">
        <f>IFERROR(__xludf.DUMMYFUNCTION("""COMPUTED_VALUE"""),"Absorb 20% MP of enemy spell damage, Confuse/Curse/Beguile reduced by 50%")</f>
        <v>Absorb 20% MP of enemy spell damage, Confuse/Curse/Beguile reduced by 50%</v>
      </c>
    </row>
    <row r="40">
      <c r="A40" t="str">
        <f>IFERROR(__xludf.DUMMYFUNCTION("""COMPUTED_VALUE"""),"Gladder Rags (Sylvando)")</f>
        <v>Gladder Rags (Sylvando)</v>
      </c>
      <c r="B40" s="212" t="str">
        <f>IFERROR(__xludf.DUMMYFUNCTION("""COMPUTED_VALUE"""),"Charm +100, Evasion +4%")</f>
        <v>Charm +100, Evasion +4%</v>
      </c>
    </row>
    <row r="41">
      <c r="A41" t="str">
        <f>IFERROR(__xludf.DUMMYFUNCTION("""COMPUTED_VALUE"""),"Potentate's Pallium (Rab)")</f>
        <v>Potentate's Pallium (Rab)</v>
      </c>
      <c r="B41" s="212" t="str">
        <f>IFERROR(__xludf.DUMMYFUNCTION("""COMPUTED_VALUE"""),"Elemental damage reduced by 20%")</f>
        <v>Elemental damage reduced by 20%</v>
      </c>
    </row>
    <row r="42">
      <c r="A42" t="str">
        <f>IFERROR(__xludf.DUMMYFUNCTION("""COMPUTED_VALUE"""),"Xenlon Gown (Jade)")</f>
        <v>Xenlon Gown (Jade)</v>
      </c>
      <c r="B42" s="212" t="str">
        <f>IFERROR(__xludf.DUMMYFUNCTION("""COMPUTED_VALUE"""),"Elemental damage reduced by 15%, Evasion +8%, Charm +125")</f>
        <v>Elemental damage reduced by 15%, Evasion +8%, Charm +125</v>
      </c>
    </row>
    <row r="43">
      <c r="A43" t="str">
        <f>IFERROR(__xludf.DUMMYFUNCTION("""COMPUTED_VALUE"""),"Drustan's Armor (Eight)")</f>
        <v>Drustan's Armor (Eight)</v>
      </c>
      <c r="B43" s="212" t="str">
        <f>IFERROR(__xludf.DUMMYFUNCTION("""COMPUTED_VALUE"""),"Fire and Ice damage reduced by 25%")</f>
        <v>Fire and Ice damage reduced by 25%</v>
      </c>
    </row>
    <row r="44">
      <c r="A44" t="str">
        <f>IFERROR(__xludf.DUMMYFUNCTION("""COMPUTED_VALUE"""),"Exotoga")</f>
        <v>Exotoga</v>
      </c>
      <c r="B44" s="212" t="str">
        <f>IFERROR(__xludf.DUMMYFUNCTION("""COMPUTED_VALUE"""),"Elemental damage reduced by 25%, Sleep, Paralyze, Poison, Envenom reduced by 35%")</f>
        <v>Elemental damage reduced by 25%, Sleep, Paralyze, Poison, Envenom reduced by 35%</v>
      </c>
    </row>
    <row r="45">
      <c r="A45" t="str">
        <f>IFERROR(__xludf.DUMMYFUNCTION("""COMPUTED_VALUE"""),"Legendary Armor")</f>
        <v>Legendary Armor</v>
      </c>
      <c r="B45" s="212" t="str">
        <f>IFERROR(__xludf.DUMMYFUNCTION("""COMPUTED_VALUE"""),"Fire and Ice damage reduced by 25%, HP/MP +3 while moving on world map")</f>
        <v>Fire and Ice damage reduced by 25%, HP/MP +3 while moving on world map</v>
      </c>
    </row>
    <row r="46">
      <c r="A46" s="213" t="str">
        <f>IFERROR(__xludf.DUMMYFUNCTION("""COMPUTED_VALUE"""),"Seraph's Robe")</f>
        <v>Seraph's Robe</v>
      </c>
      <c r="B46" s="214" t="str">
        <f>IFERROR(__xludf.DUMMYFUNCTION("""COMPUTED_VALUE"""),"Elemental damage reduced by 25%, Instadeath reduced by 50%")</f>
        <v>Elemental damage reduced by 25%, Instadeath reduced by 50%</v>
      </c>
    </row>
    <row r="47">
      <c r="A47" t="str">
        <f>IFERROR(__xludf.DUMMYFUNCTION("""COMPUTED_VALUE"""),"Accessories")</f>
        <v>Accessories</v>
      </c>
      <c r="B47" s="212"/>
    </row>
    <row r="48">
      <c r="A48" s="213" t="str">
        <f>IFERROR(__xludf.DUMMYFUNCTION("""COMPUTED_VALUE"""),"Catholicon Ring")</f>
        <v>Catholicon Ring</v>
      </c>
      <c r="B48" s="214" t="str">
        <f>IFERROR(__xludf.DUMMYFUNCTION("""COMPUTED_VALUE"""),"Sleep, Confuse, Poison, Envenom, Dazzle, Blind, Paralyze, Miss Turn reduced by 50%, wear 2 for 100%")</f>
        <v>Sleep, Confuse, Poison, Envenom, Dazzle, Blind, Paralyze, Miss Turn reduced by 50%, wear 2 for 100%</v>
      </c>
    </row>
    <row r="49">
      <c r="A49" s="217" t="str">
        <f>IFERROR(__xludf.DUMMYFUNCTION("""COMPUTED_VALUE"""),"Consolidated list of materials commonly used in these recipes, if something was missed check the material tab")</f>
        <v>Consolidated list of materials commonly used in these recipes, if something was missed check the material tab</v>
      </c>
      <c r="B49" s="218"/>
    </row>
    <row r="50">
      <c r="A50" t="str">
        <f>IFERROR(__xludf.DUMMYFUNCTION("""COMPUTED_VALUE"""),"Farm Hooper Duper in First Forest Whale Station for Devilry Drinker common steals, sell for 30,000 to finance anything you can buy")</f>
        <v>Farm Hooper Duper in First Forest Whale Station for Devilry Drinker common steals, sell for 30,000 to finance anything you can buy</v>
      </c>
      <c r="B50" s="212"/>
    </row>
    <row r="51">
      <c r="A51" s="219" t="str">
        <f>IFERROR(__xludf.DUMMYFUNCTION("""COMPUTED_VALUE"""),"Agate of Evolution")</f>
        <v>Agate of Evolution</v>
      </c>
      <c r="B51" s="212" t="str">
        <f>IFERROR(__xludf.DUMMYFUNCTION("""COMPUTED_VALUE"""),"Common steal from Hooperman in Trial Isle, Common steal from Headless Norseman in Snaerfelt")</f>
        <v>Common steal from Hooperman in Trial Isle, Common steal from Headless Norseman in Snaerfelt</v>
      </c>
    </row>
    <row r="52">
      <c r="B52" s="212" t="str">
        <f>IFERROR(__xludf.DUMMYFUNCTION("""COMPUTED_VALUE"""),"Use Hero/Erik/Jade for Haulelujah pep and fight a group of Phoenix in the NE corner of Disciple's Trial - Eerie Valley to get multiples at once")</f>
        <v>Use Hero/Erik/Jade for Haulelujah pep and fight a group of Phoenix in the NE corner of Disciple's Trial - Eerie Valley to get multiples at once</v>
      </c>
    </row>
    <row r="53">
      <c r="B53" s="212" t="str">
        <f>IFERROR(__xludf.DUMMYFUNCTION("""COMPUTED_VALUE"""),"Common steal from Red Giant on 4F of Luminary's Trial or Master Moosifer on 3F of Luminary's Trial")</f>
        <v>Common steal from Red Giant on 4F of Luminary's Trial or Master Moosifer on 3F of Luminary's Trial</v>
      </c>
    </row>
    <row r="54">
      <c r="A54" t="str">
        <f>IFERROR(__xludf.DUMMYFUNCTION("""COMPUTED_VALUE"""),"Serpent's Soul")</f>
        <v>Serpent's Soul</v>
      </c>
      <c r="B54" s="212" t="str">
        <f>IFERROR(__xludf.DUMMYFUNCTION("""COMPUTED_VALUE"""),"Common steal from Royal Reptile at the Ruins of Dundrasil")</f>
        <v>Common steal from Royal Reptile at the Ruins of Dundrasil</v>
      </c>
    </row>
    <row r="55">
      <c r="A55" t="str">
        <f>IFERROR(__xludf.DUMMYFUNCTION("""COMPUTED_VALUE"""),"Crimsonite")</f>
        <v>Crimsonite</v>
      </c>
      <c r="B55" s="212" t="str">
        <f>IFERROR(__xludf.DUMMYFUNCTION("""COMPUTED_VALUE"""),"Exchange Serpent's Soul with Krystalinda at Sniflheim castle")</f>
        <v>Exchange Serpent's Soul with Krystalinda at Sniflheim castle</v>
      </c>
    </row>
    <row r="56">
      <c r="A56" t="str">
        <f>IFERROR(__xludf.DUMMYFUNCTION("""COMPUTED_VALUE"""),"Kaleidocloth")</f>
        <v>Kaleidocloth</v>
      </c>
      <c r="B56" s="212" t="str">
        <f>IFERROR(__xludf.DUMMYFUNCTION("""COMPUTED_VALUE"""),"Exchange Serpent's Soul with Krystalinda at Sniflheim castle")</f>
        <v>Exchange Serpent's Soul with Krystalinda at Sniflheim castle</v>
      </c>
    </row>
    <row r="57">
      <c r="A57" t="str">
        <f>IFERROR(__xludf.DUMMYFUNCTION("""COMPUTED_VALUE"""),"Black Tear")</f>
        <v>Black Tear</v>
      </c>
      <c r="B57" s="212" t="str">
        <f>IFERROR(__xludf.DUMMYFUNCTION("""COMPUTED_VALUE"""),"Exchange Serpent's Soul with Krystalinda at Sniflheim castle")</f>
        <v>Exchange Serpent's Soul with Krystalinda at Sniflheim castle</v>
      </c>
    </row>
    <row r="58">
      <c r="A58" t="str">
        <f>IFERROR(__xludf.DUMMYFUNCTION("""COMPUTED_VALUE"""),"Spectralite")</f>
        <v>Spectralite</v>
      </c>
      <c r="B58" s="212" t="str">
        <f>IFERROR(__xludf.DUMMYFUNCTION("""COMPUTED_VALUE"""),"Common steal from Noble Dragon in the Snaerfelt area of Trial Isle.  Common steal from AG315 at first room of Disciple's Trial")</f>
        <v>Common steal from Noble Dragon in the Snaerfelt area of Trial Isle.  Common steal from AG315 at first room of Disciple's Trial</v>
      </c>
    </row>
    <row r="59">
      <c r="A59" t="str">
        <f>IFERROR(__xludf.DUMMYFUNCTION("""COMPUTED_VALUE"""),"Gold Bar")</f>
        <v>Gold Bar</v>
      </c>
      <c r="B59" s="212" t="str">
        <f>IFERROR(__xludf.DUMMYFUNCTION("""COMPUTED_VALUE"""),"Purchase for 20,000 at Trial Isle")</f>
        <v>Purchase for 20,000 at Trial Isle</v>
      </c>
    </row>
    <row r="60">
      <c r="A60" t="str">
        <f>IFERROR(__xludf.DUMMYFUNCTION("""COMPUTED_VALUE"""),"Lucida Shard")</f>
        <v>Lucida Shard</v>
      </c>
      <c r="B60" s="212" t="str">
        <f>IFERROR(__xludf.DUMMYFUNCTION("""COMPUTED_VALUE"""),"Purchase for 1,000 at Trial Isle")</f>
        <v>Purchase for 1,000 at Trial Isle</v>
      </c>
    </row>
    <row r="61">
      <c r="A61" t="str">
        <f>IFERROR(__xludf.DUMMYFUNCTION("""COMPUTED_VALUE"""),"Evencloth")</f>
        <v>Evencloth</v>
      </c>
      <c r="B61" s="212" t="str">
        <f>IFERROR(__xludf.DUMMYFUNCTION("""COMPUTED_VALUE"""),"Purchase for 560 at Snaerfelt")</f>
        <v>Purchase for 560 at Snaerfelt</v>
      </c>
    </row>
    <row r="62">
      <c r="A62" t="str">
        <f>IFERROR(__xludf.DUMMYFUNCTION("""COMPUTED_VALUE"""),"Savvy Sapphire, gems etc")</f>
        <v>Savvy Sapphire, gems etc</v>
      </c>
      <c r="B62" s="212" t="str">
        <f>IFERROR(__xludf.DUMMYFUNCTION("""COMPUTED_VALUE"""),"Artful Amethyst, Royal Ruby, Equable Emerald, Sunny Citrine can all be purchased at L'Academie for 2,000 ")</f>
        <v>Artful Amethyst, Royal Ruby, Equable Emerald, Sunny Citrine can all be purchased at L'Academie for 2,000 </v>
      </c>
    </row>
    <row r="63">
      <c r="A63" t="str">
        <f>IFERROR(__xludf.DUMMYFUNCTION("""COMPUTED_VALUE"""),"Orichalcum")</f>
        <v>Orichalcum</v>
      </c>
      <c r="B63" s="212" t="str">
        <f>IFERROR(__xludf.DUMMYFUNCTION("""COMPUTED_VALUE"""),"Battleground, behind the Ultimate Key door, Sparkly in Disciple's Trial")</f>
        <v>Battleground, behind the Ultimate Key door, Sparkly in Disciple's Trial</v>
      </c>
    </row>
    <row r="64">
      <c r="A64" t="str">
        <f>IFERROR(__xludf.DUMMYFUNCTION("""COMPUTED_VALUE"""),"Slime Crown")</f>
        <v>Slime Crown</v>
      </c>
      <c r="B64" s="212" t="str">
        <f>IFERROR(__xludf.DUMMYFUNCTION("""COMPUTED_VALUE"""),"50,000 Tokens at Octagonia")</f>
        <v>50,000 Tokens at Octagonia</v>
      </c>
    </row>
    <row r="65">
      <c r="A65" t="str">
        <f>IFERROR(__xludf.DUMMYFUNCTION("""COMPUTED_VALUE"""),"Dracolyte")</f>
        <v>Dracolyte</v>
      </c>
      <c r="B65" s="212" t="str">
        <f>IFERROR(__xludf.DUMMYFUNCTION("""COMPUTED_VALUE"""),"Purchase for 3,500 at Trial Isle")</f>
        <v>Purchase for 3,500 at Trial Isle</v>
      </c>
    </row>
    <row r="66">
      <c r="A66" t="str">
        <f>IFERROR(__xludf.DUMMYFUNCTION("""COMPUTED_VALUE"""),"Molten Globules")</f>
        <v>Molten Globules</v>
      </c>
      <c r="B66" s="212" t="str">
        <f>IFERROR(__xludf.DUMMYFUNCTION("""COMPUTED_VALUE"""),"Common steal from Uberkilling Machines in The Battleground")</f>
        <v>Common steal from Uberkilling Machines in The Battleground</v>
      </c>
    </row>
    <row r="67">
      <c r="A67" t="str">
        <f>IFERROR(__xludf.DUMMYFUNCTION("""COMPUTED_VALUE"""),"Goobricant")</f>
        <v>Goobricant</v>
      </c>
      <c r="B67" s="212" t="str">
        <f>IFERROR(__xludf.DUMMYFUNCTION("""COMPUTED_VALUE"""),"Only used in Legate's Blade, should have some as quest reward")</f>
        <v>Only used in Legate's Blade, should have some as quest reward</v>
      </c>
    </row>
    <row r="68">
      <c r="A68" t="str">
        <f>IFERROR(__xludf.DUMMYFUNCTION("""COMPUTED_VALUE"""),"Chronocrystal")</f>
        <v>Chronocrystal</v>
      </c>
      <c r="B68" s="220" t="str">
        <f>IFERROR(__xludf.DUMMYFUNCTION("""COMPUTED_VALUE"""),"Purchase for 8,000 at Cobblestone.  Sparkly at Luminary's Trial, Mini Medal Exchange Shop: 2 Medals")</f>
        <v>Purchase for 8,000 at Cobblestone.  Sparkly at Luminary's Trial, Mini Medal Exchange Shop: 2 Medals</v>
      </c>
    </row>
    <row r="69">
      <c r="A69" t="str">
        <f>IFERROR(__xludf.DUMMYFUNCTION("""COMPUTED_VALUE"""),"Cumulonimbough")</f>
        <v>Cumulonimbough</v>
      </c>
      <c r="B69" s="212" t="str">
        <f>IFERROR(__xludf.DUMMYFUNCTION("""COMPUTED_VALUE"""),"Sparkly at the Snaerfelt entrance section of Trial Isle, and the Disciple's Trial, Common steal from Malicious Fruity Succubat at First Forest")</f>
        <v>Sparkly at the Snaerfelt entrance section of Trial Isle, and the Disciple's Trial, Common steal from Malicious Fruity Succubat at First Forest</v>
      </c>
    </row>
    <row r="70">
      <c r="A70" t="str">
        <f>IFERROR(__xludf.DUMMYFUNCTION("""COMPUTED_VALUE"""),"Gold Nuglet")</f>
        <v>Gold Nuglet</v>
      </c>
      <c r="B70" s="212" t="str">
        <f>IFERROR(__xludf.DUMMYFUNCTION("""COMPUTED_VALUE"""),"Purchase for 2,400 at Trial Isle")</f>
        <v>Purchase for 2,400 at Trial Isle</v>
      </c>
    </row>
    <row r="71">
      <c r="A71" t="str">
        <f>IFERROR(__xludf.DUMMYFUNCTION("""COMPUTED_VALUE"""),"Slipweed")</f>
        <v>Slipweed</v>
      </c>
      <c r="B71" s="212" t="str">
        <f>IFERROR(__xludf.DUMMYFUNCTION("""COMPUTED_VALUE"""),"Purchase for 610 at Snaerfelt Camp")</f>
        <v>Purchase for 610 at Snaerfelt Camp</v>
      </c>
    </row>
    <row r="72">
      <c r="A72" t="str">
        <f>IFERROR(__xludf.DUMMYFUNCTION("""COMPUTED_VALUE"""),"Thunderball")</f>
        <v>Thunderball</v>
      </c>
      <c r="B72" s="212" t="str">
        <f>IFERROR(__xludf.DUMMYFUNCTION("""COMPUTED_VALUE"""),"Sparkly at the Battleground")</f>
        <v>Sparkly at the Battleground</v>
      </c>
    </row>
    <row r="73">
      <c r="A73" t="str">
        <f>IFERROR(__xludf.DUMMYFUNCTION("""COMPUTED_VALUE"""),"Spellbound Bough")</f>
        <v>Spellbound Bough</v>
      </c>
      <c r="B73" s="220" t="str">
        <f>IFERROR(__xludf.DUMMYFUNCTION("""COMPUTED_VALUE"""),"Manglegrove, First Forest, Mount Pang Lai, Gallopolis - Whale Way Station")</f>
        <v>Manglegrove, First Forest, Mount Pang Lai, Gallopolis - Whale Way Station</v>
      </c>
    </row>
    <row r="74">
      <c r="A74" t="str">
        <f>IFERROR(__xludf.DUMMYFUNCTION("""COMPUTED_VALUE"""),"Brighten Rock")</f>
        <v>Brighten Rock</v>
      </c>
      <c r="B74" s="212" t="str">
        <f>IFERROR(__xludf.DUMMYFUNCTION("""COMPUTED_VALUE"""),"Purchase for 770 at Snaerfelt Camp")</f>
        <v>Purchase for 770 at Snaerfelt Camp</v>
      </c>
    </row>
    <row r="75">
      <c r="A75" t="str">
        <f>IFERROR(__xludf.DUMMYFUNCTION("""COMPUTED_VALUE"""),"Sparkly Sap")</f>
        <v>Sparkly Sap</v>
      </c>
      <c r="B75" s="212" t="str">
        <f>IFERROR(__xludf.DUMMYFUNCTION("""COMPUTED_VALUE"""),"Purchase for L'Academie for 400")</f>
        <v>Purchase for L'Academie for 400</v>
      </c>
    </row>
    <row r="76">
      <c r="A76" t="str">
        <f>IFERROR(__xludf.DUMMYFUNCTION("""COMPUTED_VALUE"""),"Red Wood")</f>
        <v>Red Wood</v>
      </c>
      <c r="B76" s="212" t="str">
        <f>IFERROR(__xludf.DUMMYFUNCTION("""COMPUTED_VALUE"""),"Common steal from Malicious Stumps, head east of First Forest camp")</f>
        <v>Common steal from Malicious Stumps, head east of First Forest camp</v>
      </c>
    </row>
    <row r="77">
      <c r="A77" t="str">
        <f>IFERROR(__xludf.DUMMYFUNCTION("""COMPUTED_VALUE"""),"Saint's Ashes")</f>
        <v>Saint's Ashes</v>
      </c>
      <c r="B77" s="212" t="str">
        <f>IFERROR(__xludf.DUMMYFUNCTION("""COMPUTED_VALUE"""),"Trade for 1 Medal at the Medal Exchange Shop")</f>
        <v>Trade for 1 Medal at the Medal Exchange Shop</v>
      </c>
    </row>
    <row r="78">
      <c r="A78" t="str">
        <f>IFERROR(__xludf.DUMMYFUNCTION("""COMPUTED_VALUE"""),"Wyrmwood")</f>
        <v>Wyrmwood</v>
      </c>
      <c r="B78" s="220" t="str">
        <f>IFERROR(__xludf.DUMMYFUNCTION("""COMPUTED_VALUE"""),"Sparkly at Gallopolis - Whale Way, Laguna di Gondolia - Whale Way, Zwaardsrust - Whale Way, First Forest - Whale Way")</f>
        <v>Sparkly at Gallopolis - Whale Way, Laguna di Gondolia - Whale Way, Zwaardsrust - Whale Way, First Forest - Whale Way</v>
      </c>
    </row>
    <row r="79">
      <c r="A79" t="str">
        <f>IFERROR(__xludf.DUMMYFUNCTION("""COMPUTED_VALUE"""),"Dragon Horn")</f>
        <v>Dragon Horn</v>
      </c>
      <c r="B79" s="212" t="str">
        <f>IFERROR(__xludf.DUMMYFUNCTION("""COMPUTED_VALUE"""),"Purchase for 1,080 at Angri-La")</f>
        <v>Purchase for 1,080 at Angri-La</v>
      </c>
    </row>
    <row r="80">
      <c r="A80" t="str">
        <f>IFERROR(__xludf.DUMMYFUNCTION("""COMPUTED_VALUE"""),"Dragon Hide")</f>
        <v>Dragon Hide</v>
      </c>
      <c r="B80" s="212" t="str">
        <f>IFERROR(__xludf.DUMMYFUNCTION("""COMPUTED_VALUE"""),"Purchase for 880 at Angri-La")</f>
        <v>Purchase for 880 at Angri-La</v>
      </c>
    </row>
    <row r="81">
      <c r="A81" t="str">
        <f>IFERROR(__xludf.DUMMYFUNCTION("""COMPUTED_VALUE"""),"Ethereal Stone")</f>
        <v>Ethereal Stone</v>
      </c>
      <c r="B81" s="212" t="str">
        <f>IFERROR(__xludf.DUMMYFUNCTION("""COMPUTED_VALUE"""),"Sparkly at Manglegrove Whale Way,Sniflheim Whale Way and Trial Isle")</f>
        <v>Sparkly at Manglegrove Whale Way,Sniflheim Whale Way and Trial Isle</v>
      </c>
    </row>
    <row r="82">
      <c r="A82" t="str">
        <f>IFERROR(__xludf.DUMMYFUNCTION("""COMPUTED_VALUE"""),"Love Potion")</f>
        <v>Love Potion</v>
      </c>
      <c r="B82" s="212" t="str">
        <f>IFERROR(__xludf.DUMMYFUNCTION("""COMPUTED_VALUE"""),"Octagonia Casino: 100")</f>
        <v>Octagonia Casino: 100</v>
      </c>
    </row>
    <row r="83">
      <c r="A83" t="str">
        <f>IFERROR(__xludf.DUMMYFUNCTION("""COMPUTED_VALUE"""),"Permasnow")</f>
        <v>Permasnow</v>
      </c>
      <c r="B83" s="212" t="str">
        <f>IFERROR(__xludf.DUMMYFUNCTION("""COMPUTED_VALUE"""),"Sparkly at Sniflheim, Snaerfelt, Hekswood")</f>
        <v>Sparkly at Sniflheim, Snaerfelt, Hekswood</v>
      </c>
    </row>
    <row r="84">
      <c r="A84" t="str">
        <f>IFERROR(__xludf.DUMMYFUNCTION("""COMPUTED_VALUE"""),"Technicolour Dreamcloth")</f>
        <v>Technicolour Dreamcloth</v>
      </c>
      <c r="B84" s="212" t="str">
        <f>IFERROR(__xludf.DUMMYFUNCTION("""COMPUTED_VALUE"""),"Purchase for 2,000 at Trial Isle")</f>
        <v>Purchase for 2,000 at Trial Isle</v>
      </c>
    </row>
    <row r="85">
      <c r="A85" t="str">
        <f>IFERROR(__xludf.DUMMYFUNCTION("""COMPUTED_VALUE"""),"Pep Pop")</f>
        <v>Pep Pop</v>
      </c>
      <c r="B85" s="212" t="str">
        <f>IFERROR(__xludf.DUMMYFUNCTION("""COMPUTED_VALUE"""),"Purchase for 200,000 at Cobblestone.  Two needed for costume crafting One is found in a chest in Luminary's Trial, another is a quest reward.")</f>
        <v>Purchase for 200,000 at Cobblestone.  Two needed for costume crafting One is found in a chest in Luminary's Trial, another is a quest reward.</v>
      </c>
    </row>
    <row r="86">
      <c r="A86" t="str">
        <f>IFERROR(__xludf.DUMMYFUNCTION("""COMPUTED_VALUE"""),"Sainted Soma")</f>
        <v>Sainted Soma</v>
      </c>
      <c r="B86" s="212" t="str">
        <f>IFERROR(__xludf.DUMMYFUNCTION("""COMPUTED_VALUE"""),"Sparkly at Gallopolis Whale Way")</f>
        <v>Sparkly at Gallopolis Whale Way</v>
      </c>
    </row>
    <row r="87">
      <c r="A87" t="str">
        <f>IFERROR(__xludf.DUMMYFUNCTION("""COMPUTED_VALUE"""),"Pale, Pink, Pitch Pearls")</f>
        <v>Pale, Pink, Pitch Pearls</v>
      </c>
      <c r="B87" s="212" t="str">
        <f>IFERROR(__xludf.DUMMYFUNCTION("""COMPUTED_VALUE"""),"Purchase for 800 at the stall immediately to your left entering Lonalulu")</f>
        <v>Purchase for 800 at the stall immediately to your left entering Lonalulu</v>
      </c>
    </row>
    <row r="88">
      <c r="B88" s="221"/>
    </row>
    <row r="89">
      <c r="B89" s="221"/>
    </row>
    <row r="90">
      <c r="B90" s="221"/>
    </row>
    <row r="91">
      <c r="B91" s="221"/>
    </row>
    <row r="92">
      <c r="B92" s="221"/>
    </row>
    <row r="93">
      <c r="B93" s="221"/>
    </row>
    <row r="94">
      <c r="B94" s="221"/>
    </row>
    <row r="95">
      <c r="B95" s="221"/>
    </row>
    <row r="96">
      <c r="B96" s="221"/>
    </row>
    <row r="97">
      <c r="B97" s="221"/>
    </row>
    <row r="98">
      <c r="B98" s="221"/>
    </row>
    <row r="99">
      <c r="B99" s="221"/>
    </row>
    <row r="100">
      <c r="B100" s="221"/>
    </row>
    <row r="101">
      <c r="B101" s="221"/>
    </row>
    <row r="102">
      <c r="B102" s="221"/>
    </row>
    <row r="103">
      <c r="B103" s="221"/>
    </row>
    <row r="104">
      <c r="B104" s="221"/>
    </row>
    <row r="105">
      <c r="B105" s="221"/>
    </row>
    <row r="106">
      <c r="B106" s="221"/>
    </row>
    <row r="107">
      <c r="B107" s="221"/>
    </row>
    <row r="108">
      <c r="B108" s="221"/>
    </row>
    <row r="109">
      <c r="B109" s="221"/>
    </row>
    <row r="110">
      <c r="B110" s="221"/>
    </row>
    <row r="111">
      <c r="B111" s="221"/>
    </row>
    <row r="112">
      <c r="B112" s="221"/>
    </row>
    <row r="113">
      <c r="B113" s="221"/>
    </row>
    <row r="114">
      <c r="B114" s="221"/>
    </row>
    <row r="115">
      <c r="B115" s="221"/>
    </row>
    <row r="116">
      <c r="B116" s="221"/>
    </row>
    <row r="117">
      <c r="B117" s="221"/>
    </row>
    <row r="118">
      <c r="B118" s="221"/>
    </row>
    <row r="119">
      <c r="B119" s="221"/>
    </row>
    <row r="120">
      <c r="B120" s="221"/>
    </row>
    <row r="121">
      <c r="B121" s="221"/>
    </row>
    <row r="122">
      <c r="B122" s="221"/>
    </row>
    <row r="123">
      <c r="B123" s="221"/>
    </row>
    <row r="124">
      <c r="B124" s="221"/>
    </row>
    <row r="125">
      <c r="B125" s="221"/>
    </row>
    <row r="126">
      <c r="B126" s="221"/>
    </row>
    <row r="127">
      <c r="B127" s="221"/>
    </row>
    <row r="128">
      <c r="B128" s="221"/>
    </row>
    <row r="129">
      <c r="B129" s="221"/>
    </row>
    <row r="130">
      <c r="B130" s="221"/>
    </row>
    <row r="131">
      <c r="B131" s="221"/>
    </row>
    <row r="132">
      <c r="B132" s="221"/>
    </row>
    <row r="133">
      <c r="B133" s="221"/>
    </row>
    <row r="134">
      <c r="B134" s="221"/>
    </row>
    <row r="135">
      <c r="B135" s="221"/>
    </row>
    <row r="136">
      <c r="B136" s="221"/>
    </row>
    <row r="137">
      <c r="B137" s="221"/>
    </row>
    <row r="138">
      <c r="B138" s="221"/>
    </row>
    <row r="139">
      <c r="B139" s="221"/>
    </row>
    <row r="140">
      <c r="B140" s="221"/>
    </row>
    <row r="141">
      <c r="B141" s="221"/>
    </row>
    <row r="142">
      <c r="B142" s="221"/>
    </row>
    <row r="143">
      <c r="B143" s="221"/>
    </row>
    <row r="144">
      <c r="B144" s="221"/>
    </row>
    <row r="145">
      <c r="B145" s="221"/>
    </row>
    <row r="146">
      <c r="B146" s="221"/>
    </row>
    <row r="147">
      <c r="B147" s="221"/>
    </row>
    <row r="148">
      <c r="B148" s="221"/>
    </row>
    <row r="149">
      <c r="B149" s="221"/>
    </row>
    <row r="150">
      <c r="B150" s="221"/>
    </row>
    <row r="151">
      <c r="B151" s="221"/>
    </row>
    <row r="152">
      <c r="B152" s="221"/>
    </row>
    <row r="153">
      <c r="B153" s="221"/>
    </row>
    <row r="154">
      <c r="B154" s="221"/>
    </row>
    <row r="155">
      <c r="B155" s="221"/>
    </row>
    <row r="156">
      <c r="B156" s="221"/>
    </row>
    <row r="157">
      <c r="B157" s="221"/>
    </row>
    <row r="158">
      <c r="B158" s="221"/>
    </row>
    <row r="159">
      <c r="B159" s="221"/>
    </row>
    <row r="160">
      <c r="B160" s="221"/>
    </row>
    <row r="161">
      <c r="B161" s="221"/>
    </row>
    <row r="162">
      <c r="B162" s="221"/>
    </row>
    <row r="163">
      <c r="B163" s="221"/>
    </row>
    <row r="164">
      <c r="B164" s="221"/>
    </row>
    <row r="165">
      <c r="B165" s="221"/>
    </row>
    <row r="166">
      <c r="B166" s="221"/>
    </row>
    <row r="167">
      <c r="B167" s="221"/>
    </row>
    <row r="168">
      <c r="B168" s="221"/>
    </row>
    <row r="169">
      <c r="B169" s="221"/>
    </row>
    <row r="170">
      <c r="B170" s="221"/>
    </row>
    <row r="171">
      <c r="B171" s="221"/>
    </row>
    <row r="172">
      <c r="B172" s="221"/>
    </row>
    <row r="173">
      <c r="B173" s="221"/>
    </row>
    <row r="174">
      <c r="B174" s="221"/>
    </row>
    <row r="175">
      <c r="B175" s="221"/>
    </row>
    <row r="176">
      <c r="B176" s="221"/>
    </row>
    <row r="177">
      <c r="B177" s="221"/>
    </row>
    <row r="178">
      <c r="B178" s="221"/>
    </row>
    <row r="179">
      <c r="B179" s="221"/>
    </row>
    <row r="180">
      <c r="B180" s="221"/>
    </row>
    <row r="181">
      <c r="B181" s="221"/>
    </row>
    <row r="182">
      <c r="B182" s="221"/>
    </row>
    <row r="183">
      <c r="B183" s="221"/>
    </row>
    <row r="184">
      <c r="B184" s="221"/>
    </row>
    <row r="185">
      <c r="B185" s="221"/>
    </row>
    <row r="186">
      <c r="B186" s="221"/>
    </row>
    <row r="187">
      <c r="B187" s="221"/>
    </row>
    <row r="188">
      <c r="B188" s="221"/>
    </row>
    <row r="189">
      <c r="B189" s="221"/>
    </row>
    <row r="190">
      <c r="B190" s="221"/>
    </row>
    <row r="191">
      <c r="B191" s="221"/>
    </row>
    <row r="192">
      <c r="B192" s="221"/>
    </row>
    <row r="193">
      <c r="B193" s="221"/>
    </row>
    <row r="194">
      <c r="B194" s="221"/>
    </row>
    <row r="195">
      <c r="B195" s="221"/>
    </row>
    <row r="196">
      <c r="B196" s="221"/>
    </row>
    <row r="197">
      <c r="B197" s="221"/>
    </row>
    <row r="198">
      <c r="B198" s="221"/>
    </row>
    <row r="199">
      <c r="B199" s="221"/>
    </row>
    <row r="200">
      <c r="B200" s="221"/>
    </row>
    <row r="201">
      <c r="B201" s="221"/>
    </row>
    <row r="202">
      <c r="B202" s="221"/>
    </row>
    <row r="203">
      <c r="B203" s="221"/>
    </row>
    <row r="204">
      <c r="B204" s="221"/>
    </row>
    <row r="205">
      <c r="B205" s="221"/>
    </row>
    <row r="206">
      <c r="B206" s="221"/>
    </row>
    <row r="207">
      <c r="B207" s="221"/>
    </row>
    <row r="208">
      <c r="B208" s="221"/>
    </row>
    <row r="209">
      <c r="B209" s="221"/>
    </row>
    <row r="210">
      <c r="B210" s="221"/>
    </row>
    <row r="211">
      <c r="B211" s="221"/>
    </row>
    <row r="212">
      <c r="B212" s="221"/>
    </row>
    <row r="213">
      <c r="B213" s="221"/>
    </row>
    <row r="214">
      <c r="B214" s="221"/>
    </row>
    <row r="215">
      <c r="B215" s="221"/>
    </row>
    <row r="216">
      <c r="B216" s="221"/>
    </row>
    <row r="217">
      <c r="B217" s="221"/>
    </row>
    <row r="218">
      <c r="B218" s="221"/>
    </row>
    <row r="219">
      <c r="B219" s="221"/>
    </row>
    <row r="220">
      <c r="B220" s="221"/>
    </row>
    <row r="221">
      <c r="B221" s="221"/>
    </row>
    <row r="222">
      <c r="B222" s="221"/>
    </row>
    <row r="223">
      <c r="B223" s="221"/>
    </row>
    <row r="224">
      <c r="B224" s="221"/>
    </row>
    <row r="225">
      <c r="B225" s="221"/>
    </row>
    <row r="226">
      <c r="B226" s="221"/>
    </row>
    <row r="227">
      <c r="B227" s="221"/>
    </row>
    <row r="228">
      <c r="B228" s="221"/>
    </row>
    <row r="229">
      <c r="B229" s="221"/>
    </row>
    <row r="230">
      <c r="B230" s="221"/>
    </row>
    <row r="231">
      <c r="B231" s="221"/>
    </row>
    <row r="232">
      <c r="B232" s="221"/>
    </row>
    <row r="233">
      <c r="B233" s="221"/>
    </row>
    <row r="234">
      <c r="B234" s="221"/>
    </row>
    <row r="235">
      <c r="B235" s="221"/>
    </row>
    <row r="236">
      <c r="B236" s="221"/>
    </row>
    <row r="237">
      <c r="B237" s="221"/>
    </row>
    <row r="238">
      <c r="B238" s="221"/>
    </row>
    <row r="239">
      <c r="B239" s="221"/>
    </row>
    <row r="240">
      <c r="B240" s="221"/>
    </row>
    <row r="241">
      <c r="B241" s="221"/>
    </row>
    <row r="242">
      <c r="B242" s="221"/>
    </row>
    <row r="243">
      <c r="B243" s="221"/>
    </row>
    <row r="244">
      <c r="B244" s="221"/>
    </row>
    <row r="245">
      <c r="B245" s="221"/>
    </row>
    <row r="246">
      <c r="B246" s="221"/>
    </row>
    <row r="247">
      <c r="B247" s="221"/>
    </row>
    <row r="248">
      <c r="B248" s="221"/>
    </row>
    <row r="249">
      <c r="B249" s="221"/>
    </row>
    <row r="250">
      <c r="B250" s="221"/>
    </row>
    <row r="251">
      <c r="B251" s="221"/>
    </row>
    <row r="252">
      <c r="B252" s="221"/>
    </row>
    <row r="253">
      <c r="B253" s="221"/>
    </row>
    <row r="254">
      <c r="B254" s="221"/>
    </row>
    <row r="255">
      <c r="B255" s="221"/>
    </row>
    <row r="256">
      <c r="B256" s="221"/>
    </row>
    <row r="257">
      <c r="B257" s="221"/>
    </row>
    <row r="258">
      <c r="B258" s="221"/>
    </row>
    <row r="259">
      <c r="B259" s="221"/>
    </row>
    <row r="260">
      <c r="B260" s="221"/>
    </row>
    <row r="261">
      <c r="B261" s="221"/>
    </row>
    <row r="262">
      <c r="B262" s="221"/>
    </row>
    <row r="263">
      <c r="B263" s="221"/>
    </row>
    <row r="264">
      <c r="B264" s="221"/>
    </row>
    <row r="265">
      <c r="B265" s="221"/>
    </row>
    <row r="266">
      <c r="B266" s="221"/>
    </row>
    <row r="267">
      <c r="B267" s="221"/>
    </row>
    <row r="268">
      <c r="B268" s="221"/>
    </row>
    <row r="269">
      <c r="B269" s="221"/>
    </row>
    <row r="270">
      <c r="B270" s="221"/>
    </row>
    <row r="271">
      <c r="B271" s="221"/>
    </row>
    <row r="272">
      <c r="B272" s="221"/>
    </row>
    <row r="273">
      <c r="B273" s="221"/>
    </row>
    <row r="274">
      <c r="B274" s="221"/>
    </row>
    <row r="275">
      <c r="B275" s="221"/>
    </row>
    <row r="276">
      <c r="B276" s="221"/>
    </row>
    <row r="277">
      <c r="B277" s="221"/>
    </row>
    <row r="278">
      <c r="B278" s="221"/>
    </row>
    <row r="279">
      <c r="B279" s="221"/>
    </row>
    <row r="280">
      <c r="B280" s="221"/>
    </row>
    <row r="281">
      <c r="B281" s="221"/>
    </row>
    <row r="282">
      <c r="B282" s="221"/>
    </row>
    <row r="283">
      <c r="B283" s="221"/>
    </row>
    <row r="284">
      <c r="B284" s="221"/>
    </row>
    <row r="285">
      <c r="B285" s="221"/>
    </row>
    <row r="286">
      <c r="B286" s="221"/>
    </row>
    <row r="287">
      <c r="B287" s="221"/>
    </row>
    <row r="288">
      <c r="B288" s="221"/>
    </row>
    <row r="289">
      <c r="B289" s="221"/>
    </row>
    <row r="290">
      <c r="B290" s="221"/>
    </row>
    <row r="291">
      <c r="B291" s="221"/>
    </row>
    <row r="292">
      <c r="B292" s="221"/>
    </row>
    <row r="293">
      <c r="B293" s="221"/>
    </row>
    <row r="294">
      <c r="B294" s="221"/>
    </row>
    <row r="295">
      <c r="B295" s="221"/>
    </row>
    <row r="296">
      <c r="B296" s="221"/>
    </row>
    <row r="297">
      <c r="B297" s="221"/>
    </row>
    <row r="298">
      <c r="B298" s="221"/>
    </row>
    <row r="299">
      <c r="B299" s="221"/>
    </row>
    <row r="300">
      <c r="B300" s="221"/>
    </row>
    <row r="301">
      <c r="B301" s="221"/>
    </row>
    <row r="302">
      <c r="B302" s="221"/>
    </row>
    <row r="303">
      <c r="B303" s="221"/>
    </row>
    <row r="304">
      <c r="B304" s="221"/>
    </row>
    <row r="305">
      <c r="B305" s="221"/>
    </row>
    <row r="306">
      <c r="B306" s="221"/>
    </row>
    <row r="307">
      <c r="B307" s="221"/>
    </row>
    <row r="308">
      <c r="B308" s="221"/>
    </row>
    <row r="309">
      <c r="B309" s="221"/>
    </row>
    <row r="310">
      <c r="B310" s="221"/>
    </row>
    <row r="311">
      <c r="B311" s="221"/>
    </row>
    <row r="312">
      <c r="B312" s="221"/>
    </row>
    <row r="313">
      <c r="B313" s="221"/>
    </row>
    <row r="314">
      <c r="B314" s="221"/>
    </row>
    <row r="315">
      <c r="B315" s="221"/>
    </row>
    <row r="316">
      <c r="B316" s="221"/>
    </row>
    <row r="317">
      <c r="B317" s="221"/>
    </row>
    <row r="318">
      <c r="B318" s="221"/>
    </row>
    <row r="319">
      <c r="B319" s="221"/>
    </row>
    <row r="320">
      <c r="B320" s="221"/>
    </row>
    <row r="321">
      <c r="B321" s="221"/>
    </row>
    <row r="322">
      <c r="B322" s="221"/>
    </row>
    <row r="323">
      <c r="B323" s="221"/>
    </row>
    <row r="324">
      <c r="B324" s="221"/>
    </row>
    <row r="325">
      <c r="B325" s="221"/>
    </row>
    <row r="326">
      <c r="B326" s="221"/>
    </row>
    <row r="327">
      <c r="B327" s="221"/>
    </row>
    <row r="328">
      <c r="B328" s="221"/>
    </row>
    <row r="329">
      <c r="B329" s="221"/>
    </row>
    <row r="330">
      <c r="B330" s="221"/>
    </row>
    <row r="331">
      <c r="B331" s="221"/>
    </row>
    <row r="332">
      <c r="B332" s="221"/>
    </row>
    <row r="333">
      <c r="B333" s="221"/>
    </row>
    <row r="334">
      <c r="B334" s="221"/>
    </row>
    <row r="335">
      <c r="B335" s="221"/>
    </row>
    <row r="336">
      <c r="B336" s="221"/>
    </row>
    <row r="337">
      <c r="B337" s="221"/>
    </row>
    <row r="338">
      <c r="B338" s="221"/>
    </row>
    <row r="339">
      <c r="B339" s="221"/>
    </row>
    <row r="340">
      <c r="B340" s="221"/>
    </row>
    <row r="341">
      <c r="B341" s="221"/>
    </row>
    <row r="342">
      <c r="B342" s="221"/>
    </row>
    <row r="343">
      <c r="B343" s="221"/>
    </row>
    <row r="344">
      <c r="B344" s="221"/>
    </row>
    <row r="345">
      <c r="B345" s="221"/>
    </row>
    <row r="346">
      <c r="B346" s="221"/>
    </row>
    <row r="347">
      <c r="B347" s="221"/>
    </row>
    <row r="348">
      <c r="B348" s="221"/>
    </row>
    <row r="349">
      <c r="B349" s="221"/>
    </row>
    <row r="350">
      <c r="B350" s="221"/>
    </row>
    <row r="351">
      <c r="B351" s="221"/>
    </row>
    <row r="352">
      <c r="B352" s="221"/>
    </row>
    <row r="353">
      <c r="B353" s="221"/>
    </row>
    <row r="354">
      <c r="B354" s="221"/>
    </row>
    <row r="355">
      <c r="B355" s="221"/>
    </row>
    <row r="356">
      <c r="B356" s="221"/>
    </row>
    <row r="357">
      <c r="B357" s="221"/>
    </row>
    <row r="358">
      <c r="B358" s="221"/>
    </row>
    <row r="359">
      <c r="B359" s="221"/>
    </row>
    <row r="360">
      <c r="B360" s="221"/>
    </row>
    <row r="361">
      <c r="B361" s="221"/>
    </row>
    <row r="362">
      <c r="B362" s="221"/>
    </row>
    <row r="363">
      <c r="B363" s="221"/>
    </row>
    <row r="364">
      <c r="B364" s="221"/>
    </row>
    <row r="365">
      <c r="B365" s="221"/>
    </row>
    <row r="366">
      <c r="B366" s="221"/>
    </row>
    <row r="367">
      <c r="B367" s="221"/>
    </row>
    <row r="368">
      <c r="B368" s="221"/>
    </row>
    <row r="369">
      <c r="B369" s="221"/>
    </row>
    <row r="370">
      <c r="B370" s="221"/>
    </row>
    <row r="371">
      <c r="B371" s="221"/>
    </row>
    <row r="372">
      <c r="B372" s="221"/>
    </row>
    <row r="373">
      <c r="B373" s="221"/>
    </row>
    <row r="374">
      <c r="B374" s="221"/>
    </row>
    <row r="375">
      <c r="B375" s="221"/>
    </row>
    <row r="376">
      <c r="B376" s="221"/>
    </row>
    <row r="377">
      <c r="B377" s="221"/>
    </row>
    <row r="378">
      <c r="B378" s="221"/>
    </row>
    <row r="379">
      <c r="B379" s="221"/>
    </row>
    <row r="380">
      <c r="B380" s="221"/>
    </row>
    <row r="381">
      <c r="B381" s="221"/>
    </row>
    <row r="382">
      <c r="B382" s="221"/>
    </row>
    <row r="383">
      <c r="B383" s="221"/>
    </row>
    <row r="384">
      <c r="B384" s="221"/>
    </row>
    <row r="385">
      <c r="B385" s="221"/>
    </row>
    <row r="386">
      <c r="B386" s="221"/>
    </row>
    <row r="387">
      <c r="B387" s="221"/>
    </row>
    <row r="388">
      <c r="B388" s="221"/>
    </row>
    <row r="389">
      <c r="B389" s="221"/>
    </row>
    <row r="390">
      <c r="B390" s="221"/>
    </row>
    <row r="391">
      <c r="B391" s="221"/>
    </row>
    <row r="392">
      <c r="B392" s="221"/>
    </row>
    <row r="393">
      <c r="B393" s="221"/>
    </row>
    <row r="394">
      <c r="B394" s="221"/>
    </row>
    <row r="395">
      <c r="B395" s="221"/>
    </row>
    <row r="396">
      <c r="B396" s="221"/>
    </row>
    <row r="397">
      <c r="B397" s="221"/>
    </row>
    <row r="398">
      <c r="B398" s="221"/>
    </row>
    <row r="399">
      <c r="B399" s="221"/>
    </row>
    <row r="400">
      <c r="B400" s="221"/>
    </row>
    <row r="401">
      <c r="B401" s="221"/>
    </row>
    <row r="402">
      <c r="B402" s="221"/>
    </row>
    <row r="403">
      <c r="B403" s="221"/>
    </row>
    <row r="404">
      <c r="B404" s="221"/>
    </row>
    <row r="405">
      <c r="B405" s="221"/>
    </row>
    <row r="406">
      <c r="B406" s="221"/>
    </row>
    <row r="407">
      <c r="B407" s="221"/>
    </row>
    <row r="408">
      <c r="B408" s="221"/>
    </row>
    <row r="409">
      <c r="B409" s="221"/>
    </row>
    <row r="410">
      <c r="B410" s="221"/>
    </row>
    <row r="411">
      <c r="B411" s="221"/>
    </row>
    <row r="412">
      <c r="B412" s="221"/>
    </row>
    <row r="413">
      <c r="B413" s="221"/>
    </row>
    <row r="414">
      <c r="B414" s="221"/>
    </row>
    <row r="415">
      <c r="B415" s="221"/>
    </row>
    <row r="416">
      <c r="B416" s="221"/>
    </row>
    <row r="417">
      <c r="B417" s="221"/>
    </row>
    <row r="418">
      <c r="B418" s="221"/>
    </row>
    <row r="419">
      <c r="B419" s="221"/>
    </row>
    <row r="420">
      <c r="B420" s="221"/>
    </row>
    <row r="421">
      <c r="B421" s="221"/>
    </row>
    <row r="422">
      <c r="B422" s="221"/>
    </row>
    <row r="423">
      <c r="B423" s="221"/>
    </row>
    <row r="424">
      <c r="B424" s="221"/>
    </row>
    <row r="425">
      <c r="B425" s="221"/>
    </row>
    <row r="426">
      <c r="B426" s="221"/>
    </row>
    <row r="427">
      <c r="B427" s="221"/>
    </row>
    <row r="428">
      <c r="B428" s="221"/>
    </row>
    <row r="429">
      <c r="B429" s="221"/>
    </row>
    <row r="430">
      <c r="B430" s="221"/>
    </row>
    <row r="431">
      <c r="B431" s="221"/>
    </row>
    <row r="432">
      <c r="B432" s="221"/>
    </row>
    <row r="433">
      <c r="B433" s="221"/>
    </row>
    <row r="434">
      <c r="B434" s="221"/>
    </row>
    <row r="435">
      <c r="B435" s="221"/>
    </row>
    <row r="436">
      <c r="B436" s="221"/>
    </row>
    <row r="437">
      <c r="B437" s="221"/>
    </row>
    <row r="438">
      <c r="B438" s="221"/>
    </row>
    <row r="439">
      <c r="B439" s="221"/>
    </row>
    <row r="440">
      <c r="B440" s="221"/>
    </row>
    <row r="441">
      <c r="B441" s="221"/>
    </row>
    <row r="442">
      <c r="B442" s="221"/>
    </row>
    <row r="443">
      <c r="B443" s="221"/>
    </row>
    <row r="444">
      <c r="B444" s="221"/>
    </row>
    <row r="445">
      <c r="B445" s="221"/>
    </row>
    <row r="446">
      <c r="B446" s="221"/>
    </row>
    <row r="447">
      <c r="B447" s="221"/>
    </row>
    <row r="448">
      <c r="B448" s="221"/>
    </row>
    <row r="449">
      <c r="B449" s="221"/>
    </row>
    <row r="450">
      <c r="B450" s="221"/>
    </row>
    <row r="451">
      <c r="B451" s="221"/>
    </row>
    <row r="452">
      <c r="B452" s="221"/>
    </row>
    <row r="453">
      <c r="B453" s="221"/>
    </row>
    <row r="454">
      <c r="B454" s="221"/>
    </row>
    <row r="455">
      <c r="B455" s="221"/>
    </row>
    <row r="456">
      <c r="B456" s="221"/>
    </row>
    <row r="457">
      <c r="B457" s="221"/>
    </row>
    <row r="458">
      <c r="B458" s="221"/>
    </row>
    <row r="459">
      <c r="B459" s="221"/>
    </row>
    <row r="460">
      <c r="B460" s="221"/>
    </row>
    <row r="461">
      <c r="B461" s="221"/>
    </row>
    <row r="462">
      <c r="B462" s="221"/>
    </row>
    <row r="463">
      <c r="B463" s="221"/>
    </row>
    <row r="464">
      <c r="B464" s="221"/>
    </row>
    <row r="465">
      <c r="B465" s="221"/>
    </row>
    <row r="466">
      <c r="B466" s="221"/>
    </row>
    <row r="467">
      <c r="B467" s="221"/>
    </row>
    <row r="468">
      <c r="B468" s="221"/>
    </row>
    <row r="469">
      <c r="B469" s="221"/>
    </row>
    <row r="470">
      <c r="B470" s="221"/>
    </row>
    <row r="471">
      <c r="B471" s="221"/>
    </row>
    <row r="472">
      <c r="B472" s="221"/>
    </row>
    <row r="473">
      <c r="B473" s="221"/>
    </row>
    <row r="474">
      <c r="B474" s="221"/>
    </row>
    <row r="475">
      <c r="B475" s="221"/>
    </row>
    <row r="476">
      <c r="B476" s="221"/>
    </row>
    <row r="477">
      <c r="B477" s="221"/>
    </row>
    <row r="478">
      <c r="B478" s="221"/>
    </row>
    <row r="479">
      <c r="B479" s="221"/>
    </row>
    <row r="480">
      <c r="B480" s="221"/>
    </row>
    <row r="481">
      <c r="B481" s="221"/>
    </row>
    <row r="482">
      <c r="B482" s="221"/>
    </row>
    <row r="483">
      <c r="B483" s="221"/>
    </row>
    <row r="484">
      <c r="B484" s="221"/>
    </row>
    <row r="485">
      <c r="B485" s="221"/>
    </row>
    <row r="486">
      <c r="B486" s="221"/>
    </row>
    <row r="487">
      <c r="B487" s="221"/>
    </row>
    <row r="488">
      <c r="B488" s="221"/>
    </row>
    <row r="489">
      <c r="B489" s="221"/>
    </row>
    <row r="490">
      <c r="B490" s="221"/>
    </row>
    <row r="491">
      <c r="B491" s="221"/>
    </row>
    <row r="492">
      <c r="B492" s="221"/>
    </row>
    <row r="493">
      <c r="B493" s="221"/>
    </row>
    <row r="494">
      <c r="B494" s="221"/>
    </row>
    <row r="495">
      <c r="B495" s="221"/>
    </row>
    <row r="496">
      <c r="B496" s="221"/>
    </row>
    <row r="497">
      <c r="B497" s="221"/>
    </row>
    <row r="498">
      <c r="B498" s="221"/>
    </row>
    <row r="499">
      <c r="B499" s="221"/>
    </row>
    <row r="500">
      <c r="B500" s="221"/>
    </row>
    <row r="501">
      <c r="B501" s="221"/>
    </row>
    <row r="502">
      <c r="B502" s="221"/>
    </row>
    <row r="503">
      <c r="B503" s="221"/>
    </row>
    <row r="504">
      <c r="B504" s="221"/>
    </row>
    <row r="505">
      <c r="B505" s="221"/>
    </row>
    <row r="506">
      <c r="B506" s="221"/>
    </row>
    <row r="507">
      <c r="B507" s="221"/>
    </row>
    <row r="508">
      <c r="B508" s="221"/>
    </row>
    <row r="509">
      <c r="B509" s="221"/>
    </row>
    <row r="510">
      <c r="B510" s="221"/>
    </row>
    <row r="511">
      <c r="B511" s="221"/>
    </row>
    <row r="512">
      <c r="B512" s="221"/>
    </row>
    <row r="513">
      <c r="B513" s="221"/>
    </row>
    <row r="514">
      <c r="B514" s="221"/>
    </row>
    <row r="515">
      <c r="B515" s="221"/>
    </row>
    <row r="516">
      <c r="B516" s="221"/>
    </row>
    <row r="517">
      <c r="B517" s="221"/>
    </row>
    <row r="518">
      <c r="B518" s="221"/>
    </row>
    <row r="519">
      <c r="B519" s="221"/>
    </row>
    <row r="520">
      <c r="B520" s="221"/>
    </row>
    <row r="521">
      <c r="B521" s="221"/>
    </row>
    <row r="522">
      <c r="B522" s="221"/>
    </row>
    <row r="523">
      <c r="B523" s="221"/>
    </row>
    <row r="524">
      <c r="B524" s="221"/>
    </row>
    <row r="525">
      <c r="B525" s="221"/>
    </row>
    <row r="526">
      <c r="B526" s="221"/>
    </row>
    <row r="527">
      <c r="B527" s="221"/>
    </row>
    <row r="528">
      <c r="B528" s="221"/>
    </row>
    <row r="529">
      <c r="B529" s="221"/>
    </row>
    <row r="530">
      <c r="B530" s="221"/>
    </row>
    <row r="531">
      <c r="B531" s="221"/>
    </row>
    <row r="532">
      <c r="B532" s="221"/>
    </row>
    <row r="533">
      <c r="B533" s="221"/>
    </row>
    <row r="534">
      <c r="B534" s="221"/>
    </row>
    <row r="535">
      <c r="B535" s="221"/>
    </row>
    <row r="536">
      <c r="B536" s="221"/>
    </row>
    <row r="537">
      <c r="B537" s="221"/>
    </row>
    <row r="538">
      <c r="B538" s="221"/>
    </row>
    <row r="539">
      <c r="B539" s="221"/>
    </row>
    <row r="540">
      <c r="B540" s="221"/>
    </row>
    <row r="541">
      <c r="B541" s="221"/>
    </row>
    <row r="542">
      <c r="B542" s="221"/>
    </row>
    <row r="543">
      <c r="B543" s="221"/>
    </row>
    <row r="544">
      <c r="B544" s="221"/>
    </row>
    <row r="545">
      <c r="B545" s="221"/>
    </row>
    <row r="546">
      <c r="B546" s="221"/>
    </row>
    <row r="547">
      <c r="B547" s="221"/>
    </row>
    <row r="548">
      <c r="B548" s="221"/>
    </row>
    <row r="549">
      <c r="B549" s="221"/>
    </row>
    <row r="550">
      <c r="B550" s="221"/>
    </row>
    <row r="551">
      <c r="B551" s="221"/>
    </row>
    <row r="552">
      <c r="B552" s="221"/>
    </row>
    <row r="553">
      <c r="B553" s="221"/>
    </row>
    <row r="554">
      <c r="B554" s="221"/>
    </row>
    <row r="555">
      <c r="B555" s="221"/>
    </row>
    <row r="556">
      <c r="B556" s="221"/>
    </row>
    <row r="557">
      <c r="B557" s="221"/>
    </row>
    <row r="558">
      <c r="B558" s="221"/>
    </row>
    <row r="559">
      <c r="B559" s="221"/>
    </row>
    <row r="560">
      <c r="B560" s="221"/>
    </row>
    <row r="561">
      <c r="B561" s="221"/>
    </row>
    <row r="562">
      <c r="B562" s="221"/>
    </row>
    <row r="563">
      <c r="B563" s="221"/>
    </row>
    <row r="564">
      <c r="B564" s="221"/>
    </row>
    <row r="565">
      <c r="B565" s="221"/>
    </row>
    <row r="566">
      <c r="B566" s="221"/>
    </row>
    <row r="567">
      <c r="B567" s="221"/>
    </row>
    <row r="568">
      <c r="B568" s="221"/>
    </row>
    <row r="569">
      <c r="B569" s="221"/>
    </row>
    <row r="570">
      <c r="B570" s="221"/>
    </row>
    <row r="571">
      <c r="B571" s="221"/>
    </row>
    <row r="572">
      <c r="B572" s="221"/>
    </row>
    <row r="573">
      <c r="B573" s="221"/>
    </row>
    <row r="574">
      <c r="B574" s="221"/>
    </row>
    <row r="575">
      <c r="B575" s="221"/>
    </row>
    <row r="576">
      <c r="B576" s="221"/>
    </row>
    <row r="577">
      <c r="B577" s="221"/>
    </row>
    <row r="578">
      <c r="B578" s="221"/>
    </row>
    <row r="579">
      <c r="B579" s="221"/>
    </row>
    <row r="580">
      <c r="B580" s="221"/>
    </row>
    <row r="581">
      <c r="B581" s="221"/>
    </row>
    <row r="582">
      <c r="B582" s="221"/>
    </row>
    <row r="583">
      <c r="B583" s="221"/>
    </row>
    <row r="584">
      <c r="B584" s="221"/>
    </row>
    <row r="585">
      <c r="B585" s="221"/>
    </row>
    <row r="586">
      <c r="B586" s="221"/>
    </row>
    <row r="587">
      <c r="B587" s="221"/>
    </row>
    <row r="588">
      <c r="B588" s="221"/>
    </row>
    <row r="589">
      <c r="B589" s="221"/>
    </row>
  </sheetData>
  <mergeCells count="1">
    <mergeCell ref="A51:A5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8"/>
    <col customWidth="1" min="2" max="2" width="50.13"/>
    <col customWidth="1" min="4" max="5" width="22.63"/>
    <col customWidth="1" min="6" max="7" width="12.63"/>
  </cols>
  <sheetData>
    <row r="1">
      <c r="A1" s="222" t="str">
        <f>IFERROR(__xludf.DUMMYFUNCTION("IMPORTRANGE(""1pGQGO9M_OLNstXbY45t1_zMDCLpiw8pwB7y8fM3IKkA"",""Pep Powers!A1:G85"")"),"Pep Power")</f>
        <v>Pep Power</v>
      </c>
      <c r="B1" s="222" t="str">
        <f>IFERROR(__xludf.DUMMYFUNCTION("""COMPUTED_VALUE"""),"Effect")</f>
        <v>Effect</v>
      </c>
      <c r="C1" s="222" t="str">
        <f>IFERROR(__xludf.DUMMYFUNCTION("""COMPUTED_VALUE"""),"Pepped Up")</f>
        <v>Pepped Up</v>
      </c>
      <c r="D1" s="222">
        <f>IFERROR(__xludf.DUMMYFUNCTION("""COMPUTED_VALUE"""),1.0)</f>
        <v>1</v>
      </c>
      <c r="E1" s="222">
        <f>IFERROR(__xludf.DUMMYFUNCTION("""COMPUTED_VALUE"""),2.0)</f>
        <v>2</v>
      </c>
      <c r="F1" s="222">
        <f>IFERROR(__xludf.DUMMYFUNCTION("""COMPUTED_VALUE"""),3.0)</f>
        <v>3</v>
      </c>
      <c r="G1" s="222">
        <f>IFERROR(__xludf.DUMMYFUNCTION("""COMPUTED_VALUE"""),4.0)</f>
        <v>4</v>
      </c>
    </row>
    <row r="2">
      <c r="A2" s="222" t="str">
        <f>IFERROR(__xludf.DUMMYFUNCTION("""COMPUTED_VALUE"""),"Chop 'n' Churn")</f>
        <v>Chop 'n' Churn</v>
      </c>
      <c r="B2" s="222" t="str">
        <f>IFERROR(__xludf.DUMMYFUNCTION("""COMPUTED_VALUE"""),"wind/greatsword to enemies")</f>
        <v>wind/greatsword to enemies</v>
      </c>
      <c r="C2" s="222" t="str">
        <f>IFERROR(__xludf.DUMMYFUNCTION("""COMPUTED_VALUE"""),"Hero")</f>
        <v>Hero</v>
      </c>
      <c r="D2" s="222" t="str">
        <f>IFERROR(__xludf.DUMMYFUNCTION("""COMPUTED_VALUE"""),"Hero: Helichopter")</f>
        <v>Hero: Helichopter</v>
      </c>
      <c r="E2" s="222" t="str">
        <f>IFERROR(__xludf.DUMMYFUNCTION("""COMPUTED_VALUE"""),"Serena: Woosh")</f>
        <v>Serena: Woosh</v>
      </c>
      <c r="F2" s="222" t="str">
        <f>IFERROR(__xludf.DUMMYFUNCTION("""COMPUTED_VALUE"""),"--")</f>
        <v>--</v>
      </c>
      <c r="G2" s="222" t="str">
        <f>IFERROR(__xludf.DUMMYFUNCTION("""COMPUTED_VALUE"""),"--")</f>
        <v>--</v>
      </c>
    </row>
    <row r="3">
      <c r="A3" s="222" t="str">
        <f>IFERROR(__xludf.DUMMYFUNCTION("""COMPUTED_VALUE"""),"Ice and a Slice")</f>
        <v>Ice and a Slice</v>
      </c>
      <c r="B3" s="222" t="str">
        <f>IFERROR(__xludf.DUMMYFUNCTION("""COMPUTED_VALUE"""),"ice/sword damage to group of enemies")</f>
        <v>ice/sword damage to group of enemies</v>
      </c>
      <c r="C3" s="222" t="str">
        <f>IFERROR(__xludf.DUMMYFUNCTION("""COMPUTED_VALUE"""),"Hero")</f>
        <v>Hero</v>
      </c>
      <c r="D3" s="222" t="str">
        <f>IFERROR(__xludf.DUMMYFUNCTION("""COMPUTED_VALUE"""),"Hero: Frost Fang")</f>
        <v>Hero: Frost Fang</v>
      </c>
      <c r="E3" s="222" t="str">
        <f>IFERROR(__xludf.DUMMYFUNCTION("""COMPUTED_VALUE"""),"Veronica: Crack")</f>
        <v>Veronica: Crack</v>
      </c>
      <c r="F3" s="222" t="str">
        <f>IFERROR(__xludf.DUMMYFUNCTION("""COMPUTED_VALUE"""),"--")</f>
        <v>--</v>
      </c>
      <c r="G3" s="222" t="str">
        <f>IFERROR(__xludf.DUMMYFUNCTION("""COMPUTED_VALUE"""),"--")</f>
        <v>--</v>
      </c>
    </row>
    <row r="4">
      <c r="A4" s="222" t="str">
        <f>IFERROR(__xludf.DUMMYFUNCTION("""COMPUTED_VALUE"""),"Sword of Succour")</f>
        <v>Sword of Succour</v>
      </c>
      <c r="B4" s="222" t="str">
        <f>IFERROR(__xludf.DUMMYFUNCTION("""COMPUTED_VALUE"""),"drain HP/MP")</f>
        <v>drain HP/MP</v>
      </c>
      <c r="C4" s="222" t="str">
        <f>IFERROR(__xludf.DUMMYFUNCTION("""COMPUTED_VALUE"""),"Hero")</f>
        <v>Hero</v>
      </c>
      <c r="D4" s="222" t="str">
        <f>IFERROR(__xludf.DUMMYFUNCTION("""COMPUTED_VALUE"""),"Hero: Miracle Slash")</f>
        <v>Hero: Miracle Slash</v>
      </c>
      <c r="E4" s="222" t="str">
        <f>IFERROR(__xludf.DUMMYFUNCTION("""COMPUTED_VALUE"""),"Veronica: Drain Magic")</f>
        <v>Veronica: Drain Magic</v>
      </c>
      <c r="F4" s="222" t="str">
        <f>IFERROR(__xludf.DUMMYFUNCTION("""COMPUTED_VALUE"""),"--")</f>
        <v>--</v>
      </c>
      <c r="G4" s="222" t="str">
        <f>IFERROR(__xludf.DUMMYFUNCTION("""COMPUTED_VALUE"""),"--")</f>
        <v>--</v>
      </c>
    </row>
    <row r="5">
      <c r="A5" s="222" t="str">
        <f>IFERROR(__xludf.DUMMYFUNCTION("""COMPUTED_VALUE"""),"Fiery Fandango")</f>
        <v>Fiery Fandango</v>
      </c>
      <c r="B5" s="222" t="str">
        <f>IFERROR(__xludf.DUMMYFUNCTION("""COMPUTED_VALUE"""),"fire/sword to group of enemies")</f>
        <v>fire/sword to group of enemies</v>
      </c>
      <c r="C5" s="222" t="str">
        <f>IFERROR(__xludf.DUMMYFUNCTION("""COMPUTED_VALUE"""),"Hero")</f>
        <v>Hero</v>
      </c>
      <c r="D5" s="222" t="str">
        <f>IFERROR(__xludf.DUMMYFUNCTION("""COMPUTED_VALUE"""),"Hero: Sword Dance")</f>
        <v>Hero: Sword Dance</v>
      </c>
      <c r="E5" s="222" t="str">
        <f>IFERROR(__xludf.DUMMYFUNCTION("""COMPUTED_VALUE"""),"Veronica: Kafrizzle")</f>
        <v>Veronica: Kafrizzle</v>
      </c>
      <c r="F5" s="222" t="str">
        <f>IFERROR(__xludf.DUMMYFUNCTION("""COMPUTED_VALUE"""),"--")</f>
        <v>--</v>
      </c>
      <c r="G5" s="222" t="str">
        <f>IFERROR(__xludf.DUMMYFUNCTION("""COMPUTED_VALUE"""),"--")</f>
        <v>--</v>
      </c>
    </row>
    <row r="6">
      <c r="A6" s="222" t="str">
        <f>IFERROR(__xludf.DUMMYFUNCTION("""COMPUTED_VALUE"""),"Tempered Tantrum")</f>
        <v>Tempered Tantrum</v>
      </c>
      <c r="B6" s="222" t="str">
        <f>IFERROR(__xludf.DUMMYFUNCTION("""COMPUTED_VALUE"""),"fire/sword to one enemy")</f>
        <v>fire/sword to one enemy</v>
      </c>
      <c r="C6" s="222" t="str">
        <f>IFERROR(__xludf.DUMMYFUNCTION("""COMPUTED_VALUE"""),"Hero")</f>
        <v>Hero</v>
      </c>
      <c r="D6" s="222" t="str">
        <f>IFERROR(__xludf.DUMMYFUNCTION("""COMPUTED_VALUE"""),"Hero: Flame Slash")</f>
        <v>Hero: Flame Slash</v>
      </c>
      <c r="E6" s="222" t="str">
        <f>IFERROR(__xludf.DUMMYFUNCTION("""COMPUTED_VALUE"""),"Sylvando: Hot Lick")</f>
        <v>Sylvando: Hot Lick</v>
      </c>
      <c r="F6" s="222" t="str">
        <f>IFERROR(__xludf.DUMMYFUNCTION("""COMPUTED_VALUE"""),"--")</f>
        <v>--</v>
      </c>
      <c r="G6" s="222" t="str">
        <f>IFERROR(__xludf.DUMMYFUNCTION("""COMPUTED_VALUE"""),"--")</f>
        <v>--</v>
      </c>
    </row>
    <row r="7">
      <c r="A7" s="222" t="str">
        <f>IFERROR(__xludf.DUMMYFUNCTION("""COMPUTED_VALUE"""),"Shock Tactics")</f>
        <v>Shock Tactics</v>
      </c>
      <c r="B7" s="222" t="str">
        <f>IFERROR(__xludf.DUMMYFUNCTION("""COMPUTED_VALUE"""),"lightning/sword to enemies")</f>
        <v>lightning/sword to enemies</v>
      </c>
      <c r="C7" s="222" t="str">
        <f>IFERROR(__xludf.DUMMYFUNCTION("""COMPUTED_VALUE"""),"Hero")</f>
        <v>Hero</v>
      </c>
      <c r="D7" s="222" t="str">
        <f>IFERROR(__xludf.DUMMYFUNCTION("""COMPUTED_VALUE"""),"Hero: Gigaslash")</f>
        <v>Hero: Gigaslash</v>
      </c>
      <c r="E7" s="222" t="str">
        <f>IFERROR(__xludf.DUMMYFUNCTION("""COMPUTED_VALUE"""),"Jade: Vacuum Smash")</f>
        <v>Jade: Vacuum Smash</v>
      </c>
      <c r="F7" s="222" t="str">
        <f>IFERROR(__xludf.DUMMYFUNCTION("""COMPUTED_VALUE"""),"--")</f>
        <v>--</v>
      </c>
      <c r="G7" s="222" t="str">
        <f>IFERROR(__xludf.DUMMYFUNCTION("""COMPUTED_VALUE"""),"--")</f>
        <v>--</v>
      </c>
    </row>
    <row r="8">
      <c r="A8" s="222" t="str">
        <f>IFERROR(__xludf.DUMMYFUNCTION("""COMPUTED_VALUE"""),"Scorched Earth")</f>
        <v>Scorched Earth</v>
      </c>
      <c r="B8" s="222" t="str">
        <f>IFERROR(__xludf.DUMMYFUNCTION("""COMPUTED_VALUE"""),"makes enemies more vulnerable to fire and earth")</f>
        <v>makes enemies more vulnerable to fire and earth</v>
      </c>
      <c r="C8" s="222" t="str">
        <f>IFERROR(__xludf.DUMMYFUNCTION("""COMPUTED_VALUE"""),"Erik")</f>
        <v>Erik</v>
      </c>
      <c r="D8" s="222" t="str">
        <f>IFERROR(__xludf.DUMMYFUNCTION("""COMPUTED_VALUE"""),"Erik: Rubblerouser")</f>
        <v>Erik: Rubblerouser</v>
      </c>
      <c r="E8" s="222" t="str">
        <f>IFERROR(__xludf.DUMMYFUNCTION("""COMPUTED_VALUE"""),"Hero: Sizz")</f>
        <v>Hero: Sizz</v>
      </c>
      <c r="F8" s="222" t="str">
        <f>IFERROR(__xludf.DUMMYFUNCTION("""COMPUTED_VALUE"""),"--")</f>
        <v>--</v>
      </c>
      <c r="G8" s="222" t="str">
        <f>IFERROR(__xludf.DUMMYFUNCTION("""COMPUTED_VALUE"""),"--")</f>
        <v>--</v>
      </c>
    </row>
    <row r="9">
      <c r="A9" s="222" t="str">
        <f>IFERROR(__xludf.DUMMYFUNCTION("""COMPUTED_VALUE"""),"Edge of Sleep")</f>
        <v>Edge of Sleep</v>
      </c>
      <c r="B9" s="222" t="str">
        <f>IFERROR(__xludf.DUMMYFUNCTION("""COMPUTED_VALUE"""),"hit an enemy with Cutting Edge and sleep them")</f>
        <v>hit an enemy with Cutting Edge and sleep them</v>
      </c>
      <c r="C9" s="222" t="str">
        <f>IFERROR(__xludf.DUMMYFUNCTION("""COMPUTED_VALUE"""),"Erik")</f>
        <v>Erik</v>
      </c>
      <c r="D9" s="222" t="str">
        <f>IFERROR(__xludf.DUMMYFUNCTION("""COMPUTED_VALUE"""),"Erik: Sleeper Hit")</f>
        <v>Erik: Sleeper Hit</v>
      </c>
      <c r="E9" s="222" t="str">
        <f>IFERROR(__xludf.DUMMYFUNCTION("""COMPUTED_VALUE"""),"Hero: Cutting Edge")</f>
        <v>Hero: Cutting Edge</v>
      </c>
      <c r="F9" s="222" t="str">
        <f>IFERROR(__xludf.DUMMYFUNCTION("""COMPUTED_VALUE"""),"--")</f>
        <v>--</v>
      </c>
      <c r="G9" s="222" t="str">
        <f>IFERROR(__xludf.DUMMYFUNCTION("""COMPUTED_VALUE"""),"--")</f>
        <v>--</v>
      </c>
    </row>
    <row r="10">
      <c r="A10" s="222" t="str">
        <f>IFERROR(__xludf.DUMMYFUNCTION("""COMPUTED_VALUE"""),"Falcon's Fury")</f>
        <v>Falcon's Fury</v>
      </c>
      <c r="B10" s="222" t="str">
        <f>IFERROR(__xludf.DUMMYFUNCTION("""COMPUTED_VALUE"""),"team up to tear an enemy to shreds you say")</f>
        <v>team up to tear an enemy to shreds you say</v>
      </c>
      <c r="C10" s="222" t="str">
        <f>IFERROR(__xludf.DUMMYFUNCTION("""COMPUTED_VALUE"""),"Erik")</f>
        <v>Erik</v>
      </c>
      <c r="D10" s="222" t="str">
        <f>IFERROR(__xludf.DUMMYFUNCTION("""COMPUTED_VALUE"""),"Erik: Falcon Slash")</f>
        <v>Erik: Falcon Slash</v>
      </c>
      <c r="E10" s="222" t="str">
        <f>IFERROR(__xludf.DUMMYFUNCTION("""COMPUTED_VALUE"""),"Hero: Falcon Slash")</f>
        <v>Hero: Falcon Slash</v>
      </c>
      <c r="F10" s="222" t="str">
        <f>IFERROR(__xludf.DUMMYFUNCTION("""COMPUTED_VALUE"""),"--")</f>
        <v>--</v>
      </c>
      <c r="G10" s="222" t="str">
        <f>IFERROR(__xludf.DUMMYFUNCTION("""COMPUTED_VALUE"""),"--")</f>
        <v>--</v>
      </c>
    </row>
    <row r="11">
      <c r="A11" s="222" t="str">
        <f>IFERROR(__xludf.DUMMYFUNCTION("""COMPUTED_VALUE"""),"Metal Medley")</f>
        <v>Metal Medley</v>
      </c>
      <c r="B11" s="222" t="str">
        <f>IFERROR(__xludf.DUMMYFUNCTION("""COMPUTED_VALUE"""),"an attack that can carve through metal enemies")</f>
        <v>an attack that can carve through metal enemies</v>
      </c>
      <c r="C11" s="222" t="str">
        <f>IFERROR(__xludf.DUMMYFUNCTION("""COMPUTED_VALUE"""),"Erik")</f>
        <v>Erik</v>
      </c>
      <c r="D11" s="222" t="str">
        <f>IFERROR(__xludf.DUMMYFUNCTION("""COMPUTED_VALUE"""),"Erik: Metalicker")</f>
        <v>Erik: Metalicker</v>
      </c>
      <c r="E11" s="222" t="str">
        <f>IFERROR(__xludf.DUMMYFUNCTION("""COMPUTED_VALUE"""),"Hero: Metal Slash")</f>
        <v>Hero: Metal Slash</v>
      </c>
      <c r="F11" s="222" t="str">
        <f>IFERROR(__xludf.DUMMYFUNCTION("""COMPUTED_VALUE"""),"--")</f>
        <v>--</v>
      </c>
      <c r="G11" s="222" t="str">
        <f>IFERROR(__xludf.DUMMYFUNCTION("""COMPUTED_VALUE"""),"--")</f>
        <v>--</v>
      </c>
    </row>
    <row r="12">
      <c r="A12" s="222" t="str">
        <f>IFERROR(__xludf.DUMMYFUNCTION("""COMPUTED_VALUE"""),"Thunderdragon Dance")</f>
        <v>Thunderdragon Dance</v>
      </c>
      <c r="B12" s="222" t="str">
        <f>IFERROR(__xludf.DUMMYFUNCTION("""COMPUTED_VALUE"""),"pair of lightning attacks to a single enemy")</f>
        <v>pair of lightning attacks to a single enemy</v>
      </c>
      <c r="C12" s="222" t="str">
        <f>IFERROR(__xludf.DUMMYFUNCTION("""COMPUTED_VALUE"""),"Veronica")</f>
        <v>Veronica</v>
      </c>
      <c r="D12" s="222" t="str">
        <f>IFERROR(__xludf.DUMMYFUNCTION("""COMPUTED_VALUE"""),"Veronica: Twin Dragon Lash")</f>
        <v>Veronica: Twin Dragon Lash</v>
      </c>
      <c r="E12" s="222" t="str">
        <f>IFERROR(__xludf.DUMMYFUNCTION("""COMPUTED_VALUE"""),"Hero: Zapple")</f>
        <v>Hero: Zapple</v>
      </c>
      <c r="F12" s="222" t="str">
        <f>IFERROR(__xludf.DUMMYFUNCTION("""COMPUTED_VALUE"""),"--")</f>
        <v>--</v>
      </c>
      <c r="G12" s="222" t="str">
        <f>IFERROR(__xludf.DUMMYFUNCTION("""COMPUTED_VALUE"""),"--")</f>
        <v>--</v>
      </c>
    </row>
    <row r="13">
      <c r="A13" s="222" t="str">
        <f>IFERROR(__xludf.DUMMYFUNCTION("""COMPUTED_VALUE"""),"Sliceberg")</f>
        <v>Sliceberg</v>
      </c>
      <c r="B13" s="222" t="str">
        <f>IFERROR(__xludf.DUMMYFUNCTION("""COMPUTED_VALUE"""),"attack random enemies with ice")</f>
        <v>attack random enemies with ice</v>
      </c>
      <c r="C13" s="222" t="str">
        <f>IFERROR(__xludf.DUMMYFUNCTION("""COMPUTED_VALUE"""),"Veronica")</f>
        <v>Veronica</v>
      </c>
      <c r="D13" s="222" t="str">
        <f>IFERROR(__xludf.DUMMYFUNCTION("""COMPUTED_VALUE"""),"Veronica: Kacrack")</f>
        <v>Veronica: Kacrack</v>
      </c>
      <c r="E13" s="222" t="str">
        <f>IFERROR(__xludf.DUMMYFUNCTION("""COMPUTED_VALUE"""),"Serena: Crushed Ice")</f>
        <v>Serena: Crushed Ice</v>
      </c>
      <c r="F13" s="222" t="str">
        <f>IFERROR(__xludf.DUMMYFUNCTION("""COMPUTED_VALUE"""),"--")</f>
        <v>--</v>
      </c>
      <c r="G13" s="222" t="str">
        <f>IFERROR(__xludf.DUMMYFUNCTION("""COMPUTED_VALUE"""),"--")</f>
        <v>--</v>
      </c>
    </row>
    <row r="14">
      <c r="A14" s="222" t="str">
        <f>IFERROR(__xludf.DUMMYFUNCTION("""COMPUTED_VALUE"""),"Flashbang Wallop")</f>
        <v>Flashbang Wallop</v>
      </c>
      <c r="B14" s="222" t="str">
        <f>IFERROR(__xludf.DUMMYFUNCTION("""COMPUTED_VALUE"""),"dazzle a group of enemies with a whip attack")</f>
        <v>dazzle a group of enemies with a whip attack</v>
      </c>
      <c r="C14" s="222" t="str">
        <f>IFERROR(__xludf.DUMMYFUNCTION("""COMPUTED_VALUE"""),"Veronica")</f>
        <v>Veronica</v>
      </c>
      <c r="D14" s="222" t="str">
        <f>IFERROR(__xludf.DUMMYFUNCTION("""COMPUTED_VALUE"""),"Veronica: Starstrike")</f>
        <v>Veronica: Starstrike</v>
      </c>
      <c r="E14" s="222" t="str">
        <f>IFERROR(__xludf.DUMMYFUNCTION("""COMPUTED_VALUE"""),"Serena: Hymn of Light")</f>
        <v>Serena: Hymn of Light</v>
      </c>
      <c r="F14" s="222" t="str">
        <f>IFERROR(__xludf.DUMMYFUNCTION("""COMPUTED_VALUE"""),"--")</f>
        <v>--</v>
      </c>
      <c r="G14" s="222" t="str">
        <f>IFERROR(__xludf.DUMMYFUNCTION("""COMPUTED_VALUE"""),"--")</f>
        <v>--</v>
      </c>
    </row>
    <row r="15">
      <c r="A15" s="222" t="str">
        <f>IFERROR(__xludf.DUMMYFUNCTION("""COMPUTED_VALUE"""),"Angel's Breath")</f>
        <v>Angel's Breath</v>
      </c>
      <c r="B15" s="222" t="str">
        <f>IFERROR(__xludf.DUMMYFUNCTION("""COMPUTED_VALUE"""),"regenerate a party member's MP for a few turns")</f>
        <v>regenerate a party member's MP for a few turns</v>
      </c>
      <c r="C15" s="222" t="str">
        <f>IFERROR(__xludf.DUMMYFUNCTION("""COMPUTED_VALUE"""),"Veronica")</f>
        <v>Veronica</v>
      </c>
      <c r="D15" s="222" t="str">
        <f>IFERROR(__xludf.DUMMYFUNCTION("""COMPUTED_VALUE"""),"Veronica: Sage's Breath")</f>
        <v>Veronica: Sage's Breath</v>
      </c>
      <c r="E15" s="222" t="str">
        <f>IFERROR(__xludf.DUMMYFUNCTION("""COMPUTED_VALUE"""),"Serena: Midheal")</f>
        <v>Serena: Midheal</v>
      </c>
      <c r="F15" s="222" t="str">
        <f>IFERROR(__xludf.DUMMYFUNCTION("""COMPUTED_VALUE"""),"--")</f>
        <v>--</v>
      </c>
      <c r="G15" s="222" t="str">
        <f>IFERROR(__xludf.DUMMYFUNCTION("""COMPUTED_VALUE"""),"--")</f>
        <v>--</v>
      </c>
    </row>
    <row r="16">
      <c r="A16" s="222" t="str">
        <f>IFERROR(__xludf.DUMMYFUNCTION("""COMPUTED_VALUE"""),"Exorsplosion")</f>
        <v>Exorsplosion</v>
      </c>
      <c r="B16" s="222" t="str">
        <f>IFERROR(__xludf.DUMMYFUNCTION("""COMPUTED_VALUE"""),"damage all enemies, bonus to demons")</f>
        <v>damage all enemies, bonus to demons</v>
      </c>
      <c r="C16" s="222" t="str">
        <f>IFERROR(__xludf.DUMMYFUNCTION("""COMPUTED_VALUE"""),"Serena")</f>
        <v>Serena</v>
      </c>
      <c r="D16" s="222" t="str">
        <f>IFERROR(__xludf.DUMMYFUNCTION("""COMPUTED_VALUE"""),"Serena: Devil's Delight")</f>
        <v>Serena: Devil's Delight</v>
      </c>
      <c r="E16" s="222" t="str">
        <f>IFERROR(__xludf.DUMMYFUNCTION("""COMPUTED_VALUE"""),"Hero: Big Banga")</f>
        <v>Hero: Big Banga</v>
      </c>
      <c r="F16" s="222" t="str">
        <f>IFERROR(__xludf.DUMMYFUNCTION("""COMPUTED_VALUE"""),"--")</f>
        <v>--</v>
      </c>
      <c r="G16" s="222" t="str">
        <f>IFERROR(__xludf.DUMMYFUNCTION("""COMPUTED_VALUE"""),"--")</f>
        <v>--</v>
      </c>
    </row>
    <row r="17">
      <c r="A17" s="222" t="str">
        <f>IFERROR(__xludf.DUMMYFUNCTION("""COMPUTED_VALUE"""),"Metal Ballad")</f>
        <v>Metal Ballad</v>
      </c>
      <c r="B17" s="222" t="str">
        <f>IFERROR(__xludf.DUMMYFUNCTION("""COMPUTED_VALUE"""),"attack a single for, extra to metallic/mechanical monsters")</f>
        <v>attack a single for, extra to metallic/mechanical monsters</v>
      </c>
      <c r="C17" s="222" t="str">
        <f>IFERROR(__xludf.DUMMYFUNCTION("""COMPUTED_VALUE"""),"Serena")</f>
        <v>Serena</v>
      </c>
      <c r="D17" s="222" t="str">
        <f>IFERROR(__xludf.DUMMYFUNCTION("""COMPUTED_VALUE"""),"Serena: Hymn of Earth")</f>
        <v>Serena: Hymn of Earth</v>
      </c>
      <c r="E17" s="222" t="str">
        <f>IFERROR(__xludf.DUMMYFUNCTION("""COMPUTED_VALUE"""),"Hero: Metal Slash")</f>
        <v>Hero: Metal Slash</v>
      </c>
      <c r="F17" s="222" t="str">
        <f>IFERROR(__xludf.DUMMYFUNCTION("""COMPUTED_VALUE"""),"--")</f>
        <v>--</v>
      </c>
      <c r="G17" s="222" t="str">
        <f>IFERROR(__xludf.DUMMYFUNCTION("""COMPUTED_VALUE"""),"--")</f>
        <v>--</v>
      </c>
    </row>
    <row r="18">
      <c r="A18" s="222" t="str">
        <f>IFERROR(__xludf.DUMMYFUNCTION("""COMPUTED_VALUE"""),"Blight of the Living Dead")</f>
        <v>Blight of the Living Dead</v>
      </c>
      <c r="B18" s="222" t="str">
        <f>IFERROR(__xludf.DUMMYFUNCTION("""COMPUTED_VALUE"""),"sword strike that deals extra damage to undead")</f>
        <v>sword strike that deals extra damage to undead</v>
      </c>
      <c r="C18" s="222" t="str">
        <f>IFERROR(__xludf.DUMMYFUNCTION("""COMPUTED_VALUE"""),"Serena")</f>
        <v>Serena</v>
      </c>
      <c r="D18" s="222" t="str">
        <f>IFERROR(__xludf.DUMMYFUNCTION("""COMPUTED_VALUE"""),"Serena: Deliverance")</f>
        <v>Serena: Deliverance</v>
      </c>
      <c r="E18" s="222" t="str">
        <f>IFERROR(__xludf.DUMMYFUNCTION("""COMPUTED_VALUE"""),"Hero: Cutting Edge")</f>
        <v>Hero: Cutting Edge</v>
      </c>
      <c r="F18" s="222" t="str">
        <f>IFERROR(__xludf.DUMMYFUNCTION("""COMPUTED_VALUE"""),"--")</f>
        <v>--</v>
      </c>
      <c r="G18" s="222" t="str">
        <f>IFERROR(__xludf.DUMMYFUNCTION("""COMPUTED_VALUE"""),"--")</f>
        <v>--</v>
      </c>
    </row>
    <row r="19">
      <c r="A19" s="222" t="str">
        <f>IFERROR(__xludf.DUMMYFUNCTION("""COMPUTED_VALUE"""),"Divine Deliverance")</f>
        <v>Divine Deliverance</v>
      </c>
      <c r="B19" s="222" t="str">
        <f>IFERROR(__xludf.DUMMYFUNCTION("""COMPUTED_VALUE"""),"grants the entire party the ability to revive upon defeat")</f>
        <v>grants the entire party the ability to revive upon defeat</v>
      </c>
      <c r="C19" s="222" t="str">
        <f>IFERROR(__xludf.DUMMYFUNCTION("""COMPUTED_VALUE"""),"Serena")</f>
        <v>Serena</v>
      </c>
      <c r="D19" s="222" t="str">
        <f>IFERROR(__xludf.DUMMYFUNCTION("""COMPUTED_VALUE"""),"Serena: Divine Intervention")</f>
        <v>Serena: Divine Intervention</v>
      </c>
      <c r="E19" s="222" t="str">
        <f>IFERROR(__xludf.DUMMYFUNCTION("""COMPUTED_VALUE"""),"Veronica: Zing Stick")</f>
        <v>Veronica: Zing Stick</v>
      </c>
      <c r="F19" s="222" t="str">
        <f>IFERROR(__xludf.DUMMYFUNCTION("""COMPUTED_VALUE"""),"--")</f>
        <v>--</v>
      </c>
      <c r="G19" s="222" t="str">
        <f>IFERROR(__xludf.DUMMYFUNCTION("""COMPUTED_VALUE"""),"--")</f>
        <v>--</v>
      </c>
    </row>
    <row r="20">
      <c r="A20" s="222" t="str">
        <f>IFERROR(__xludf.DUMMYFUNCTION("""COMPUTED_VALUE"""),"Frizzwhizz")</f>
        <v>Frizzwhizz</v>
      </c>
      <c r="B20" s="222" t="str">
        <f>IFERROR(__xludf.DUMMYFUNCTION("""COMPUTED_VALUE"""),"send a hurricane to a group of enemies")</f>
        <v>send a hurricane to a group of enemies</v>
      </c>
      <c r="C20" s="222" t="str">
        <f>IFERROR(__xludf.DUMMYFUNCTION("""COMPUTED_VALUE"""),"Sylvando")</f>
        <v>Sylvando</v>
      </c>
      <c r="D20" s="222" t="str">
        <f>IFERROR(__xludf.DUMMYFUNCTION("""COMPUTED_VALUE"""),"Sylvando: Woosh")</f>
        <v>Sylvando: Woosh</v>
      </c>
      <c r="E20" s="222" t="str">
        <f>IFERROR(__xludf.DUMMYFUNCTION("""COMPUTED_VALUE"""),"Hero: Frizz")</f>
        <v>Hero: Frizz</v>
      </c>
      <c r="F20" s="222" t="str">
        <f>IFERROR(__xludf.DUMMYFUNCTION("""COMPUTED_VALUE"""),"--")</f>
        <v>--</v>
      </c>
      <c r="G20" s="222" t="str">
        <f>IFERROR(__xludf.DUMMYFUNCTION("""COMPUTED_VALUE"""),"--")</f>
        <v>--</v>
      </c>
    </row>
    <row r="21">
      <c r="A21" s="222" t="str">
        <f>IFERROR(__xludf.DUMMYFUNCTION("""COMPUTED_VALUE"""),"Snooze 'n' Bruise")</f>
        <v>Snooze 'n' Bruise</v>
      </c>
      <c r="B21" s="222" t="str">
        <f>IFERROR(__xludf.DUMMYFUNCTION("""COMPUTED_VALUE"""),"sleep an enemy and wake them up")</f>
        <v>sleep an enemy and wake them up</v>
      </c>
      <c r="C21" s="222" t="str">
        <f>IFERROR(__xludf.DUMMYFUNCTION("""COMPUTED_VALUE"""),"Sylvando")</f>
        <v>Sylvando</v>
      </c>
      <c r="D21" s="222" t="str">
        <f>IFERROR(__xludf.DUMMYFUNCTION("""COMPUTED_VALUE"""),"Sylvando: Persecutter")</f>
        <v>Sylvando: Persecutter</v>
      </c>
      <c r="E21" s="222" t="str">
        <f>IFERROR(__xludf.DUMMYFUNCTION("""COMPUTED_VALUE"""),"Hero: Snooze")</f>
        <v>Hero: Snooze</v>
      </c>
      <c r="F21" s="222" t="str">
        <f>IFERROR(__xludf.DUMMYFUNCTION("""COMPUTED_VALUE"""),"--")</f>
        <v>--</v>
      </c>
      <c r="G21" s="222" t="str">
        <f>IFERROR(__xludf.DUMMYFUNCTION("""COMPUTED_VALUE"""),"--")</f>
        <v>--</v>
      </c>
    </row>
    <row r="22">
      <c r="A22" s="222" t="str">
        <f>IFERROR(__xludf.DUMMYFUNCTION("""COMPUTED_VALUE"""),"Joltin' Juggler")</f>
        <v>Joltin' Juggler</v>
      </c>
      <c r="B22" s="222" t="str">
        <f>IFERROR(__xludf.DUMMYFUNCTION("""COMPUTED_VALUE"""),"attack random enemies with lightning")</f>
        <v>attack random enemies with lightning</v>
      </c>
      <c r="C22" s="222" t="str">
        <f>IFERROR(__xludf.DUMMYFUNCTION("""COMPUTED_VALUE"""),"Sylvando")</f>
        <v>Sylvando</v>
      </c>
      <c r="D22" s="222" t="str">
        <f>IFERROR(__xludf.DUMMYFUNCTION("""COMPUTED_VALUE"""),"Sylvando: Have a Ball")</f>
        <v>Sylvando: Have a Ball</v>
      </c>
      <c r="E22" s="222" t="str">
        <f>IFERROR(__xludf.DUMMYFUNCTION("""COMPUTED_VALUE"""),"Hero: Zap")</f>
        <v>Hero: Zap</v>
      </c>
      <c r="F22" s="222" t="str">
        <f>IFERROR(__xludf.DUMMYFUNCTION("""COMPUTED_VALUE"""),"--")</f>
        <v>--</v>
      </c>
      <c r="G22" s="222" t="str">
        <f>IFERROR(__xludf.DUMMYFUNCTION("""COMPUTED_VALUE"""),"--")</f>
        <v>--</v>
      </c>
    </row>
    <row r="23">
      <c r="A23" s="222" t="str">
        <f>IFERROR(__xludf.DUMMYFUNCTION("""COMPUTED_VALUE"""),"Knight's Pledge")</f>
        <v>Knight's Pledge</v>
      </c>
      <c r="B23" s="222" t="str">
        <f>IFERROR(__xludf.DUMMYFUNCTION("""COMPUTED_VALUE"""),"defend each other, guaranteed-counter attack")</f>
        <v>defend each other, guaranteed-counter attack</v>
      </c>
      <c r="C23" s="222" t="str">
        <f>IFERROR(__xludf.DUMMYFUNCTION("""COMPUTED_VALUE"""),"Sylvando")</f>
        <v>Sylvando</v>
      </c>
      <c r="D23" s="222" t="str">
        <f>IFERROR(__xludf.DUMMYFUNCTION("""COMPUTED_VALUE"""),"Sylvando: Whipping Boy")</f>
        <v>Sylvando: Whipping Boy</v>
      </c>
      <c r="E23" s="222" t="str">
        <f>IFERROR(__xludf.DUMMYFUNCTION("""COMPUTED_VALUE"""),"Eight: Forbearance")</f>
        <v>Eight: Forbearance</v>
      </c>
      <c r="F23" s="222" t="str">
        <f>IFERROR(__xludf.DUMMYFUNCTION("""COMPUTED_VALUE"""),"--")</f>
        <v>--</v>
      </c>
      <c r="G23" s="222" t="str">
        <f>IFERROR(__xludf.DUMMYFUNCTION("""COMPUTED_VALUE"""),"--")</f>
        <v>--</v>
      </c>
    </row>
    <row r="24">
      <c r="A24" s="222" t="str">
        <f>IFERROR(__xludf.DUMMYFUNCTION("""COMPUTED_VALUE"""),"Kiss of Death")</f>
        <v>Kiss of Death</v>
      </c>
      <c r="B24" s="222" t="str">
        <f>IFERROR(__xludf.DUMMYFUNCTION("""COMPUTED_VALUE"""),"attack all enemies with poisonous kisses")</f>
        <v>attack all enemies with poisonous kisses</v>
      </c>
      <c r="C24" s="222" t="str">
        <f>IFERROR(__xludf.DUMMYFUNCTION("""COMPUTED_VALUE"""),"Sylvando")</f>
        <v>Sylvando</v>
      </c>
      <c r="D24" s="222" t="str">
        <f>IFERROR(__xludf.DUMMYFUNCTION("""COMPUTED_VALUE"""),"Sylvando: Kiss Me Deadly")</f>
        <v>Sylvando: Kiss Me Deadly</v>
      </c>
      <c r="E24" s="222" t="str">
        <f>IFERROR(__xludf.DUMMYFUNCTION("""COMPUTED_VALUE"""),"Eight: Holy Impregnable")</f>
        <v>Eight: Holy Impregnable</v>
      </c>
      <c r="F24" s="222" t="str">
        <f>IFERROR(__xludf.DUMMYFUNCTION("""COMPUTED_VALUE"""),"--")</f>
        <v>--</v>
      </c>
      <c r="G24" s="222" t="str">
        <f>IFERROR(__xludf.DUMMYFUNCTION("""COMPUTED_VALUE"""),"--")</f>
        <v>--</v>
      </c>
    </row>
    <row r="25">
      <c r="A25" s="222" t="str">
        <f>IFERROR(__xludf.DUMMYFUNCTION("""COMPUTED_VALUE"""),"Stun-Double")</f>
        <v>Stun-Double</v>
      </c>
      <c r="B25" s="222" t="str">
        <f>IFERROR(__xludf.DUMMYFUNCTION("""COMPUTED_VALUE"""),"stops an enemy before slicing them")</f>
        <v>stops an enemy before slicing them</v>
      </c>
      <c r="C25" s="222" t="str">
        <f>IFERROR(__xludf.DUMMYFUNCTION("""COMPUTED_VALUE"""),"Sylvando")</f>
        <v>Sylvando</v>
      </c>
      <c r="D25" s="222" t="str">
        <f>IFERROR(__xludf.DUMMYFUNCTION("""COMPUTED_VALUE"""),"Sylvando: Trammel Lash")</f>
        <v>Sylvando: Trammel Lash</v>
      </c>
      <c r="E25" s="222" t="str">
        <f>IFERROR(__xludf.DUMMYFUNCTION("""COMPUTED_VALUE"""),"Eight: A Cut Above")</f>
        <v>Eight: A Cut Above</v>
      </c>
      <c r="F25" s="222" t="str">
        <f>IFERROR(__xludf.DUMMYFUNCTION("""COMPUTED_VALUE"""),"--")</f>
        <v>--</v>
      </c>
      <c r="G25" s="222" t="str">
        <f>IFERROR(__xludf.DUMMYFUNCTION("""COMPUTED_VALUE"""),"--")</f>
        <v>--</v>
      </c>
    </row>
    <row r="26">
      <c r="A26" s="222" t="str">
        <f>IFERROR(__xludf.DUMMYFUNCTION("""COMPUTED_VALUE"""),"Tooth and Nail")</f>
        <v>Tooth and Nail</v>
      </c>
      <c r="B26" s="222" t="str">
        <f>IFERROR(__xludf.DUMMYFUNCTION("""COMPUTED_VALUE"""),"attack an enemy with an onslaught")</f>
        <v>attack an enemy with an onslaught</v>
      </c>
      <c r="C26" s="222" t="str">
        <f>IFERROR(__xludf.DUMMYFUNCTION("""COMPUTED_VALUE"""),"Rab")</f>
        <v>Rab</v>
      </c>
      <c r="D26" s="222" t="str">
        <f>IFERROR(__xludf.DUMMYFUNCTION("""COMPUTED_VALUE"""),"Rab: Wild Animaul")</f>
        <v>Rab: Wild Animaul</v>
      </c>
      <c r="E26" s="222" t="str">
        <f>IFERROR(__xludf.DUMMYFUNCTION("""COMPUTED_VALUE"""),"Hero: Falcon Slash")</f>
        <v>Hero: Falcon Slash</v>
      </c>
      <c r="F26" s="222" t="str">
        <f>IFERROR(__xludf.DUMMYFUNCTION("""COMPUTED_VALUE"""),"--")</f>
        <v>--</v>
      </c>
      <c r="G26" s="222" t="str">
        <f>IFERROR(__xludf.DUMMYFUNCTION("""COMPUTED_VALUE"""),"--")</f>
        <v>--</v>
      </c>
    </row>
    <row r="27">
      <c r="A27" s="222" t="str">
        <f>IFERROR(__xludf.DUMMYFUNCTION("""COMPUTED_VALUE"""),"Gloomstorm")</f>
        <v>Gloomstorm</v>
      </c>
      <c r="B27" s="222" t="str">
        <f>IFERROR(__xludf.DUMMYFUNCTION("""COMPUTED_VALUE"""),"attack all enemies with inky electricity")</f>
        <v>attack all enemies with inky electricity</v>
      </c>
      <c r="C27" s="222" t="str">
        <f>IFERROR(__xludf.DUMMYFUNCTION("""COMPUTED_VALUE"""),"Rab")</f>
        <v>Rab</v>
      </c>
      <c r="D27" s="222" t="str">
        <f>IFERROR(__xludf.DUMMYFUNCTION("""COMPUTED_VALUE"""),"Rab: Zammle")</f>
        <v>Rab: Zammle</v>
      </c>
      <c r="E27" s="222" t="str">
        <f>IFERROR(__xludf.DUMMYFUNCTION("""COMPUTED_VALUE"""),"Hero: Zapple")</f>
        <v>Hero: Zapple</v>
      </c>
      <c r="F27" s="222" t="str">
        <f>IFERROR(__xludf.DUMMYFUNCTION("""COMPUTED_VALUE"""),"--")</f>
        <v>--</v>
      </c>
      <c r="G27" s="222" t="str">
        <f>IFERROR(__xludf.DUMMYFUNCTION("""COMPUTED_VALUE"""),"--")</f>
        <v>--</v>
      </c>
    </row>
    <row r="28">
      <c r="A28" s="222" t="str">
        <f>IFERROR(__xludf.DUMMYFUNCTION("""COMPUTED_VALUE"""),"Disruptive Wave")</f>
        <v>Disruptive Wave</v>
      </c>
      <c r="B28" s="222" t="str">
        <f>IFERROR(__xludf.DUMMYFUNCTION("""COMPUTED_VALUE"""),"dispel all enemy buffs")</f>
        <v>dispel all enemy buffs</v>
      </c>
      <c r="C28" s="222" t="str">
        <f>IFERROR(__xludf.DUMMYFUNCTION("""COMPUTED_VALUE"""),"Rab")</f>
        <v>Rab</v>
      </c>
      <c r="D28" s="222" t="str">
        <f>IFERROR(__xludf.DUMMYFUNCTION("""COMPUTED_VALUE"""),"Rab: Clear Your Mind")</f>
        <v>Rab: Clear Your Mind</v>
      </c>
      <c r="E28" s="222" t="str">
        <f>IFERROR(__xludf.DUMMYFUNCTION("""COMPUTED_VALUE"""),"Hero: Unbridled Blade")</f>
        <v>Hero: Unbridled Blade</v>
      </c>
      <c r="F28" s="222" t="str">
        <f>IFERROR(__xludf.DUMMYFUNCTION("""COMPUTED_VALUE"""),"--")</f>
        <v>--</v>
      </c>
      <c r="G28" s="222" t="str">
        <f>IFERROR(__xludf.DUMMYFUNCTION("""COMPUTED_VALUE"""),"--")</f>
        <v>--</v>
      </c>
    </row>
    <row r="29">
      <c r="A29" s="222" t="str">
        <f>IFERROR(__xludf.DUMMYFUNCTION("""COMPUTED_VALUE"""),"Dirge of Dundrasil")</f>
        <v>Dirge of Dundrasil</v>
      </c>
      <c r="B29" s="222" t="str">
        <f>IFERROR(__xludf.DUMMYFUNCTION("""COMPUTED_VALUE"""),"send enemies to sleep, even metal")</f>
        <v>send enemies to sleep, even metal</v>
      </c>
      <c r="C29" s="222" t="str">
        <f>IFERROR(__xludf.DUMMYFUNCTION("""COMPUTED_VALUE"""),"Rab")</f>
        <v>Rab</v>
      </c>
      <c r="D29" s="222" t="str">
        <f>IFERROR(__xludf.DUMMYFUNCTION("""COMPUTED_VALUE"""),"Rab: Kasnooze")</f>
        <v>Rab: Kasnooze</v>
      </c>
      <c r="E29" s="222" t="str">
        <f>IFERROR(__xludf.DUMMYFUNCTION("""COMPUTED_VALUE"""),"Hero: Kasnooze")</f>
        <v>Hero: Kasnooze</v>
      </c>
      <c r="F29" s="222" t="str">
        <f>IFERROR(__xludf.DUMMYFUNCTION("""COMPUTED_VALUE"""),"--")</f>
        <v>--</v>
      </c>
      <c r="G29" s="222" t="str">
        <f>IFERROR(__xludf.DUMMYFUNCTION("""COMPUTED_VALUE"""),"--")</f>
        <v>--</v>
      </c>
    </row>
    <row r="30">
      <c r="A30" s="222" t="str">
        <f>IFERROR(__xludf.DUMMYFUNCTION("""COMPUTED_VALUE"""),"Gold Kick")</f>
        <v>Gold Kick</v>
      </c>
      <c r="B30" s="222" t="str">
        <f>IFERROR(__xludf.DUMMYFUNCTION("""COMPUTED_VALUE"""),"attack all enemies and dispel buffs")</f>
        <v>attack all enemies and dispel buffs</v>
      </c>
      <c r="C30" s="222" t="str">
        <f>IFERROR(__xludf.DUMMYFUNCTION("""COMPUTED_VALUE"""),"Rab")</f>
        <v>Rab</v>
      </c>
      <c r="D30" s="222" t="str">
        <f>IFERROR(__xludf.DUMMYFUNCTION("""COMPUTED_VALUE"""),"Rab: Rake 'n' Break")</f>
        <v>Rab: Rake 'n' Break</v>
      </c>
      <c r="E30" s="222" t="str">
        <f>IFERROR(__xludf.DUMMYFUNCTION("""COMPUTED_VALUE"""),"Jade: Air Raiser")</f>
        <v>Jade: Air Raiser</v>
      </c>
      <c r="F30" s="222" t="str">
        <f>IFERROR(__xludf.DUMMYFUNCTION("""COMPUTED_VALUE"""),"--")</f>
        <v>--</v>
      </c>
      <c r="G30" s="222" t="str">
        <f>IFERROR(__xludf.DUMMYFUNCTION("""COMPUTED_VALUE"""),"--")</f>
        <v>--</v>
      </c>
    </row>
    <row r="31">
      <c r="A31" s="222" t="str">
        <f>IFERROR(__xludf.DUMMYFUNCTION("""COMPUTED_VALUE"""),"Chillblaze")</f>
        <v>Chillblaze</v>
      </c>
      <c r="B31" s="222" t="str">
        <f>IFERROR(__xludf.DUMMYFUNCTION("""COMPUTED_VALUE"""),"engulf a single enemy in fire and ice")</f>
        <v>engulf a single enemy in fire and ice</v>
      </c>
      <c r="C31" s="222" t="str">
        <f>IFERROR(__xludf.DUMMYFUNCTION("""COMPUTED_VALUE"""),"Jade")</f>
        <v>Jade</v>
      </c>
      <c r="D31" s="222" t="str">
        <f>IFERROR(__xludf.DUMMYFUNCTION("""COMPUTED_VALUE"""),"Jade: Crushed Ice")</f>
        <v>Jade: Crushed Ice</v>
      </c>
      <c r="E31" s="222" t="str">
        <f>IFERROR(__xludf.DUMMYFUNCTION("""COMPUTED_VALUE"""),"Hero: Flame Slash")</f>
        <v>Hero: Flame Slash</v>
      </c>
      <c r="F31" s="222" t="str">
        <f>IFERROR(__xludf.DUMMYFUNCTION("""COMPUTED_VALUE"""),"--")</f>
        <v>--</v>
      </c>
      <c r="G31" s="222" t="str">
        <f>IFERROR(__xludf.DUMMYFUNCTION("""COMPUTED_VALUE"""),"--")</f>
        <v>--</v>
      </c>
    </row>
    <row r="32">
      <c r="A32" s="222" t="str">
        <f>IFERROR(__xludf.DUMMYFUNCTION("""COMPUTED_VALUE"""),"Raging Dragons")</f>
        <v>Raging Dragons</v>
      </c>
      <c r="B32" s="222" t="str">
        <f>IFERROR(__xludf.DUMMYFUNCTION("""COMPUTED_VALUE"""),"single enemy, extra damage to dragons and machines")</f>
        <v>single enemy, extra damage to dragons and machines</v>
      </c>
      <c r="C32" s="222" t="str">
        <f>IFERROR(__xludf.DUMMYFUNCTION("""COMPUTED_VALUE"""),"Jade")</f>
        <v>Jade</v>
      </c>
      <c r="D32" s="222" t="str">
        <f>IFERROR(__xludf.DUMMYFUNCTION("""COMPUTED_VALUE"""),"Jade: Hardclaw")</f>
        <v>Jade: Hardclaw</v>
      </c>
      <c r="E32" s="222" t="str">
        <f>IFERROR(__xludf.DUMMYFUNCTION("""COMPUTED_VALUE"""),"Hero: Dragon Slash")</f>
        <v>Hero: Dragon Slash</v>
      </c>
      <c r="F32" s="222" t="str">
        <f>IFERROR(__xludf.DUMMYFUNCTION("""COMPUTED_VALUE"""),"--")</f>
        <v>--</v>
      </c>
      <c r="G32" s="222" t="str">
        <f>IFERROR(__xludf.DUMMYFUNCTION("""COMPUTED_VALUE"""),"--")</f>
        <v>--</v>
      </c>
    </row>
    <row r="33">
      <c r="A33" s="222" t="str">
        <f>IFERROR(__xludf.DUMMYFUNCTION("""COMPUTED_VALUE"""),"Scorch 'n' Sweep")</f>
        <v>Scorch 'n' Sweep</v>
      </c>
      <c r="B33" s="222" t="str">
        <f>IFERROR(__xludf.DUMMYFUNCTION("""COMPUTED_VALUE"""),"barrage of flames to a group of enemies")</f>
        <v>barrage of flames to a group of enemies</v>
      </c>
      <c r="C33" s="222" t="str">
        <f>IFERROR(__xludf.DUMMYFUNCTION("""COMPUTED_VALUE"""),"Jade")</f>
        <v>Jade</v>
      </c>
      <c r="D33" s="222" t="str">
        <f>IFERROR(__xludf.DUMMYFUNCTION("""COMPUTED_VALUE"""),"Jade: Leg Sweep")</f>
        <v>Jade: Leg Sweep</v>
      </c>
      <c r="E33" s="222" t="str">
        <f>IFERROR(__xludf.DUMMYFUNCTION("""COMPUTED_VALUE"""),"Hero: Sizz")</f>
        <v>Hero: Sizz</v>
      </c>
      <c r="F33" s="222" t="str">
        <f>IFERROR(__xludf.DUMMYFUNCTION("""COMPUTED_VALUE"""),"--")</f>
        <v>--</v>
      </c>
      <c r="G33" s="222" t="str">
        <f>IFERROR(__xludf.DUMMYFUNCTION("""COMPUTED_VALUE"""),"--")</f>
        <v>--</v>
      </c>
    </row>
    <row r="34">
      <c r="A34" s="222" t="str">
        <f>IFERROR(__xludf.DUMMYFUNCTION("""COMPUTED_VALUE"""),"Cold Feet")</f>
        <v>Cold Feet</v>
      </c>
      <c r="B34" s="222" t="str">
        <f>IFERROR(__xludf.DUMMYFUNCTION("""COMPUTED_VALUE"""),"a cold kick to a  group of enemies at random")</f>
        <v>a cold kick to a  group of enemies at random</v>
      </c>
      <c r="C34" s="222" t="str">
        <f>IFERROR(__xludf.DUMMYFUNCTION("""COMPUTED_VALUE"""),"Jade")</f>
        <v>Jade</v>
      </c>
      <c r="D34" s="222" t="str">
        <f>IFERROR(__xludf.DUMMYFUNCTION("""COMPUTED_VALUE"""),"Jade: Multifeet")</f>
        <v>Jade: Multifeet</v>
      </c>
      <c r="E34" s="222" t="str">
        <f>IFERROR(__xludf.DUMMYFUNCTION("""COMPUTED_VALUE"""),"Rab: Kacrack")</f>
        <v>Rab: Kacrack</v>
      </c>
      <c r="F34" s="222" t="str">
        <f>IFERROR(__xludf.DUMMYFUNCTION("""COMPUTED_VALUE"""),"--")</f>
        <v>--</v>
      </c>
      <c r="G34" s="222" t="str">
        <f>IFERROR(__xludf.DUMMYFUNCTION("""COMPUTED_VALUE"""),"--")</f>
        <v>--</v>
      </c>
    </row>
    <row r="35">
      <c r="A35" s="222" t="str">
        <f>IFERROR(__xludf.DUMMYFUNCTION("""COMPUTED_VALUE"""),"Rust in Pieces")</f>
        <v>Rust in Pieces</v>
      </c>
      <c r="B35" s="222" t="str">
        <f>IFERROR(__xludf.DUMMYFUNCTION("""COMPUTED_VALUE"""),"scratch a single enemy, extra damage to machines")</f>
        <v>scratch a single enemy, extra damage to machines</v>
      </c>
      <c r="C35" s="222" t="str">
        <f>IFERROR(__xludf.DUMMYFUNCTION("""COMPUTED_VALUE"""),"Jade")</f>
        <v>Jade</v>
      </c>
      <c r="D35" s="222" t="str">
        <f>IFERROR(__xludf.DUMMYFUNCTION("""COMPUTED_VALUE"""),"Jade: Thunder Thrust")</f>
        <v>Jade: Thunder Thrust</v>
      </c>
      <c r="E35" s="222" t="str">
        <f>IFERROR(__xludf.DUMMYFUNCTION("""COMPUTED_VALUE"""),"Rab: Can Opener")</f>
        <v>Rab: Can Opener</v>
      </c>
      <c r="F35" s="222" t="str">
        <f>IFERROR(__xludf.DUMMYFUNCTION("""COMPUTED_VALUE"""),"--")</f>
        <v>--</v>
      </c>
      <c r="G35" s="222" t="str">
        <f>IFERROR(__xludf.DUMMYFUNCTION("""COMPUTED_VALUE"""),"--")</f>
        <v>--</v>
      </c>
    </row>
    <row r="36">
      <c r="A36" s="222" t="str">
        <f>IFERROR(__xludf.DUMMYFUNCTION("""COMPUTED_VALUE"""),"In the Pink")</f>
        <v>In the Pink</v>
      </c>
      <c r="B36" s="222" t="str">
        <f>IFERROR(__xludf.DUMMYFUNCTION("""COMPUTED_VALUE"""),"hit all enemies with a pink whirlwind")</f>
        <v>hit all enemies with a pink whirlwind</v>
      </c>
      <c r="C36" s="222" t="str">
        <f>IFERROR(__xludf.DUMMYFUNCTION("""COMPUTED_VALUE"""),"Jade")</f>
        <v>Jade</v>
      </c>
      <c r="D36" s="222" t="str">
        <f>IFERROR(__xludf.DUMMYFUNCTION("""COMPUTED_VALUE"""),"Jade: Pink Typhoon")</f>
        <v>Jade: Pink Typhoon</v>
      </c>
      <c r="E36" s="222" t="str">
        <f>IFERROR(__xludf.DUMMYFUNCTION("""COMPUTED_VALUE"""),"Rab: Ring of Ruin")</f>
        <v>Rab: Ring of Ruin</v>
      </c>
      <c r="F36" s="222" t="str">
        <f>IFERROR(__xludf.DUMMYFUNCTION("""COMPUTED_VALUE"""),"--")</f>
        <v>--</v>
      </c>
      <c r="G36" s="222" t="str">
        <f>IFERROR(__xludf.DUMMYFUNCTION("""COMPUTED_VALUE"""),"--")</f>
        <v>--</v>
      </c>
    </row>
    <row r="37">
      <c r="A37" s="222" t="str">
        <f>IFERROR(__xludf.DUMMYFUNCTION("""COMPUTED_VALUE"""),"Last Bastion")</f>
        <v>Last Bastion</v>
      </c>
      <c r="B37" s="222" t="str">
        <f>IFERROR(__xludf.DUMMYFUNCTION("""COMPUTED_VALUE"""),"protects the party from desperate attacks")</f>
        <v>protects the party from desperate attacks</v>
      </c>
      <c r="C37" s="222" t="str">
        <f>IFERROR(__xludf.DUMMYFUNCTION("""COMPUTED_VALUE"""),"Eight")</f>
        <v>Eight</v>
      </c>
      <c r="D37" s="222" t="str">
        <f>IFERROR(__xludf.DUMMYFUNCTION("""COMPUTED_VALUE"""),"Eight: Desperate Measures")</f>
        <v>Eight: Desperate Measures</v>
      </c>
      <c r="E37" s="222" t="str">
        <f>IFERROR(__xludf.DUMMYFUNCTION("""COMPUTED_VALUE"""),"Hero: Blade of Ultimate Power")</f>
        <v>Hero: Blade of Ultimate Power</v>
      </c>
      <c r="F37" s="222" t="str">
        <f>IFERROR(__xludf.DUMMYFUNCTION("""COMPUTED_VALUE"""),"--")</f>
        <v>--</v>
      </c>
      <c r="G37" s="222" t="str">
        <f>IFERROR(__xludf.DUMMYFUNCTION("""COMPUTED_VALUE"""),"--")</f>
        <v>--</v>
      </c>
    </row>
    <row r="38">
      <c r="A38" s="222" t="str">
        <f>IFERROR(__xludf.DUMMYFUNCTION("""COMPUTED_VALUE"""),"Double Dragon Slash")</f>
        <v>Double Dragon Slash</v>
      </c>
      <c r="B38" s="222" t="str">
        <f>IFERROR(__xludf.DUMMYFUNCTION("""COMPUTED_VALUE"""),"damage to a single enemy, extra damage to dragons")</f>
        <v>damage to a single enemy, extra damage to dragons</v>
      </c>
      <c r="C38" s="222" t="str">
        <f>IFERROR(__xludf.DUMMYFUNCTION("""COMPUTED_VALUE"""),"Eight")</f>
        <v>Eight</v>
      </c>
      <c r="D38" s="222" t="str">
        <f>IFERROR(__xludf.DUMMYFUNCTION("""COMPUTED_VALUE"""),"Eight: Dragon Slash")</f>
        <v>Eight: Dragon Slash</v>
      </c>
      <c r="E38" s="222" t="str">
        <f>IFERROR(__xludf.DUMMYFUNCTION("""COMPUTED_VALUE"""),"Hero: Dragon Slash")</f>
        <v>Hero: Dragon Slash</v>
      </c>
      <c r="F38" s="222" t="str">
        <f>IFERROR(__xludf.DUMMYFUNCTION("""COMPUTED_VALUE"""),"--")</f>
        <v>--</v>
      </c>
      <c r="G38" s="222" t="str">
        <f>IFERROR(__xludf.DUMMYFUNCTION("""COMPUTED_VALUE"""),"--")</f>
        <v>--</v>
      </c>
    </row>
    <row r="39">
      <c r="A39" s="222" t="str">
        <f>IFERROR(__xludf.DUMMYFUNCTION("""COMPUTED_VALUE"""),"Cold Front")</f>
        <v>Cold Front</v>
      </c>
      <c r="B39" s="222" t="str">
        <f>IFERROR(__xludf.DUMMYFUNCTION("""COMPUTED_VALUE"""),"attack all enemies with ice")</f>
        <v>attack all enemies with ice</v>
      </c>
      <c r="C39" s="222" t="str">
        <f>IFERROR(__xludf.DUMMYFUNCTION("""COMPUTED_VALUE"""),"Eight")</f>
        <v>Eight</v>
      </c>
      <c r="D39" s="222" t="str">
        <f>IFERROR(__xludf.DUMMYFUNCTION("""COMPUTED_VALUE"""),"Eight: Frost Fangs")</f>
        <v>Eight: Frost Fangs</v>
      </c>
      <c r="E39" s="222" t="str">
        <f>IFERROR(__xludf.DUMMYFUNCTION("""COMPUTED_VALUE"""),"Hero: Helichopter")</f>
        <v>Hero: Helichopter</v>
      </c>
      <c r="F39" s="222" t="str">
        <f>IFERROR(__xludf.DUMMYFUNCTION("""COMPUTED_VALUE"""),"--")</f>
        <v>--</v>
      </c>
      <c r="G39" s="222" t="str">
        <f>IFERROR(__xludf.DUMMYFUNCTION("""COMPUTED_VALUE"""),"--")</f>
        <v>--</v>
      </c>
    </row>
    <row r="40">
      <c r="A40" s="222" t="str">
        <f>IFERROR(__xludf.DUMMYFUNCTION("""COMPUTED_VALUE"""),"Thunder Sunderer")</f>
        <v>Thunder Sunderer</v>
      </c>
      <c r="B40" s="222" t="str">
        <f>IFERROR(__xludf.DUMMYFUNCTION("""COMPUTED_VALUE"""),"sweeping axe attack that can send enemies soaring")</f>
        <v>sweeping axe attack that can send enemies soaring</v>
      </c>
      <c r="C40" s="222" t="str">
        <f>IFERROR(__xludf.DUMMYFUNCTION("""COMPUTED_VALUE"""),"Eight")</f>
        <v>Eight</v>
      </c>
      <c r="D40" s="222" t="str">
        <f>IFERROR(__xludf.DUMMYFUNCTION("""COMPUTED_VALUE"""),"Eight: Axes of Evil")</f>
        <v>Eight: Axes of Evil</v>
      </c>
      <c r="E40" s="222" t="str">
        <f>IFERROR(__xludf.DUMMYFUNCTION("""COMPUTED_VALUE"""),"Hero: Zapple")</f>
        <v>Hero: Zapple</v>
      </c>
      <c r="F40" s="222" t="str">
        <f>IFERROR(__xludf.DUMMYFUNCTION("""COMPUTED_VALUE"""),"--")</f>
        <v>--</v>
      </c>
      <c r="G40" s="222" t="str">
        <f>IFERROR(__xludf.DUMMYFUNCTION("""COMPUTED_VALUE"""),"--")</f>
        <v>--</v>
      </c>
    </row>
    <row r="41">
      <c r="A41" s="222" t="str">
        <f>IFERROR(__xludf.DUMMYFUNCTION("""COMPUTED_VALUE"""),"Executioner")</f>
        <v>Executioner</v>
      </c>
      <c r="B41" s="222" t="str">
        <f>IFERROR(__xludf.DUMMYFUNCTION("""COMPUTED_VALUE"""),"perfectly coordinated pummeling on an enemy")</f>
        <v>perfectly coordinated pummeling on an enemy</v>
      </c>
      <c r="C41" s="222" t="str">
        <f>IFERROR(__xludf.DUMMYFUNCTION("""COMPUTED_VALUE"""),"Eight")</f>
        <v>Eight</v>
      </c>
      <c r="D41" s="222" t="str">
        <f>IFERROR(__xludf.DUMMYFUNCTION("""COMPUTED_VALUE"""),"Eight: Hatchet Man")</f>
        <v>Eight: Hatchet Man</v>
      </c>
      <c r="E41" s="222" t="str">
        <f>IFERROR(__xludf.DUMMYFUNCTION("""COMPUTED_VALUE"""),"Sylvando: Metal Slash")</f>
        <v>Sylvando: Metal Slash</v>
      </c>
      <c r="F41" s="222" t="str">
        <f>IFERROR(__xludf.DUMMYFUNCTION("""COMPUTED_VALUE"""),"--")</f>
        <v>--</v>
      </c>
      <c r="G41" s="222" t="str">
        <f>IFERROR(__xludf.DUMMYFUNCTION("""COMPUTED_VALUE"""),"--")</f>
        <v>--</v>
      </c>
    </row>
    <row r="42">
      <c r="A42" s="222" t="str">
        <f>IFERROR(__xludf.DUMMYFUNCTION("""COMPUTED_VALUE"""),"The Real Decoy")</f>
        <v>The Real Decoy</v>
      </c>
      <c r="B42" s="222" t="str">
        <f>IFERROR(__xludf.DUMMYFUNCTION("""COMPUTED_VALUE"""),"damage to one enemy")</f>
        <v>damage to one enemy</v>
      </c>
      <c r="C42" s="222" t="str">
        <f>IFERROR(__xludf.DUMMYFUNCTION("""COMPUTED_VALUE"""),"All")</f>
        <v>All</v>
      </c>
      <c r="D42" s="222" t="str">
        <f>IFERROR(__xludf.DUMMYFUNCTION("""COMPUTED_VALUE"""),"Hero")</f>
        <v>Hero</v>
      </c>
      <c r="E42" s="222" t="str">
        <f>IFERROR(__xludf.DUMMYFUNCTION("""COMPUTED_VALUE"""),"Erik")</f>
        <v>Erik</v>
      </c>
      <c r="F42" s="222" t="str">
        <f>IFERROR(__xludf.DUMMYFUNCTION("""COMPUTED_VALUE"""),"--")</f>
        <v>--</v>
      </c>
      <c r="G42" s="222" t="str">
        <f>IFERROR(__xludf.DUMMYFUNCTION("""COMPUTED_VALUE"""),"--")</f>
        <v>--</v>
      </c>
    </row>
    <row r="43">
      <c r="A43" s="222" t="str">
        <f>IFERROR(__xludf.DUMMYFUNCTION("""COMPUTED_VALUE"""),"Itemised Kill")</f>
        <v>Itemised Kill</v>
      </c>
      <c r="B43" s="222" t="str">
        <f>IFERROR(__xludf.DUMMYFUNCTION("""COMPUTED_VALUE"""),"damage + steal to one enemy")</f>
        <v>damage + steal to one enemy</v>
      </c>
      <c r="C43" s="222" t="str">
        <f>IFERROR(__xludf.DUMMYFUNCTION("""COMPUTED_VALUE"""),"All")</f>
        <v>All</v>
      </c>
      <c r="D43" s="222" t="str">
        <f>IFERROR(__xludf.DUMMYFUNCTION("""COMPUTED_VALUE"""),"Hero: Flame Slash")</f>
        <v>Hero: Flame Slash</v>
      </c>
      <c r="E43" s="222" t="str">
        <f>IFERROR(__xludf.DUMMYFUNCTION("""COMPUTED_VALUE"""),"Erik: Half-Inch")</f>
        <v>Erik: Half-Inch</v>
      </c>
      <c r="F43" s="222" t="str">
        <f>IFERROR(__xludf.DUMMYFUNCTION("""COMPUTED_VALUE"""),"--")</f>
        <v>--</v>
      </c>
      <c r="G43" s="222" t="str">
        <f>IFERROR(__xludf.DUMMYFUNCTION("""COMPUTED_VALUE"""),"--")</f>
        <v>--</v>
      </c>
    </row>
    <row r="44">
      <c r="A44" s="222" t="str">
        <f>IFERROR(__xludf.DUMMYFUNCTION("""COMPUTED_VALUE"""),"Care Prayer")</f>
        <v>Care Prayer</v>
      </c>
      <c r="B44" s="222" t="str">
        <f>IFERROR(__xludf.DUMMYFUNCTION("""COMPUTED_VALUE"""),"increase all allies' defence + Magic Mending")</f>
        <v>increase all allies' defence + Magic Mending</v>
      </c>
      <c r="C44" s="222" t="str">
        <f>IFERROR(__xludf.DUMMYFUNCTION("""COMPUTED_VALUE"""),"All")</f>
        <v>All</v>
      </c>
      <c r="D44" s="222" t="str">
        <f>IFERROR(__xludf.DUMMYFUNCTION("""COMPUTED_VALUE"""),"Hero")</f>
        <v>Hero</v>
      </c>
      <c r="E44" s="222" t="str">
        <f>IFERROR(__xludf.DUMMYFUNCTION("""COMPUTED_VALUE"""),"Serena")</f>
        <v>Serena</v>
      </c>
      <c r="F44" s="222" t="str">
        <f>IFERROR(__xludf.DUMMYFUNCTION("""COMPUTED_VALUE"""),"--")</f>
        <v>--</v>
      </c>
      <c r="G44" s="222" t="str">
        <f>IFERROR(__xludf.DUMMYFUNCTION("""COMPUTED_VALUE"""),"--")</f>
        <v>--</v>
      </c>
    </row>
    <row r="45">
      <c r="A45" s="222" t="str">
        <f>IFERROR(__xludf.DUMMYFUNCTION("""COMPUTED_VALUE"""),"Choir of Angels")</f>
        <v>Choir of Angels</v>
      </c>
      <c r="B45" s="222" t="str">
        <f>IFERROR(__xludf.DUMMYFUNCTION("""COMPUTED_VALUE"""),"restore all allies' HP + status cure")</f>
        <v>restore all allies' HP + status cure</v>
      </c>
      <c r="C45" s="222" t="str">
        <f>IFERROR(__xludf.DUMMYFUNCTION("""COMPUTED_VALUE"""),"All")</f>
        <v>All</v>
      </c>
      <c r="D45" s="222" t="str">
        <f>IFERROR(__xludf.DUMMYFUNCTION("""COMPUTED_VALUE"""),"Hero: Fullheal")</f>
        <v>Hero: Fullheal</v>
      </c>
      <c r="E45" s="222" t="str">
        <f>IFERROR(__xludf.DUMMYFUNCTION("""COMPUTED_VALUE"""),"Hymn of Light")</f>
        <v>Hymn of Light</v>
      </c>
      <c r="F45" s="222" t="str">
        <f>IFERROR(__xludf.DUMMYFUNCTION("""COMPUTED_VALUE"""),"--")</f>
        <v>--</v>
      </c>
      <c r="G45" s="222" t="str">
        <f>IFERROR(__xludf.DUMMYFUNCTION("""COMPUTED_VALUE"""),"--")</f>
        <v>--</v>
      </c>
    </row>
    <row r="46">
      <c r="A46" s="222" t="str">
        <f>IFERROR(__xludf.DUMMYFUNCTION("""COMPUTED_VALUE"""),"Ring of Wrack and Ruin")</f>
        <v>Ring of Wrack and Ruin</v>
      </c>
      <c r="B46" s="222" t="str">
        <f>IFERROR(__xludf.DUMMYFUNCTION("""COMPUTED_VALUE"""),"increase all allies' critical spell chance")</f>
        <v>increase all allies' critical spell chance</v>
      </c>
      <c r="C46" s="222" t="str">
        <f>IFERROR(__xludf.DUMMYFUNCTION("""COMPUTED_VALUE"""),"All")</f>
        <v>All</v>
      </c>
      <c r="D46" s="222" t="str">
        <f>IFERROR(__xludf.DUMMYFUNCTION("""COMPUTED_VALUE"""),"Hero")</f>
        <v>Hero</v>
      </c>
      <c r="E46" s="222" t="str">
        <f>IFERROR(__xludf.DUMMYFUNCTION("""COMPUTED_VALUE"""),"Veronica")</f>
        <v>Veronica</v>
      </c>
      <c r="F46" s="222" t="str">
        <f>IFERROR(__xludf.DUMMYFUNCTION("""COMPUTED_VALUE"""),"--")</f>
        <v>--</v>
      </c>
      <c r="G46" s="222" t="str">
        <f>IFERROR(__xludf.DUMMYFUNCTION("""COMPUTED_VALUE"""),"--")</f>
        <v>--</v>
      </c>
    </row>
    <row r="47">
      <c r="A47" s="222" t="str">
        <f>IFERROR(__xludf.DUMMYFUNCTION("""COMPUTED_VALUE"""),"Frizz Cracker")</f>
        <v>Frizz Cracker</v>
      </c>
      <c r="B47" s="222" t="str">
        <f>IFERROR(__xludf.DUMMYFUNCTION("""COMPUTED_VALUE"""),"attack all enemies with fire and ice")</f>
        <v>attack all enemies with fire and ice</v>
      </c>
      <c r="C47" s="222" t="str">
        <f>IFERROR(__xludf.DUMMYFUNCTION("""COMPUTED_VALUE"""),"All")</f>
        <v>All</v>
      </c>
      <c r="D47" s="222" t="str">
        <f>IFERROR(__xludf.DUMMYFUNCTION("""COMPUTED_VALUE"""),"Hero: Kafrizz")</f>
        <v>Hero: Kafrizz</v>
      </c>
      <c r="E47" s="222" t="str">
        <f>IFERROR(__xludf.DUMMYFUNCTION("""COMPUTED_VALUE"""),"Veronica: Kacrack")</f>
        <v>Veronica: Kacrack</v>
      </c>
      <c r="F47" s="222" t="str">
        <f>IFERROR(__xludf.DUMMYFUNCTION("""COMPUTED_VALUE"""),"--")</f>
        <v>--</v>
      </c>
      <c r="G47" s="222" t="str">
        <f>IFERROR(__xludf.DUMMYFUNCTION("""COMPUTED_VALUE"""),"--")</f>
        <v>--</v>
      </c>
    </row>
    <row r="48">
      <c r="A48" s="222" t="str">
        <f>IFERROR(__xludf.DUMMYFUNCTION("""COMPUTED_VALUE"""),"The Fight Fantastic")</f>
        <v>The Fight Fantastic</v>
      </c>
      <c r="B48" s="222" t="str">
        <f>IFERROR(__xludf.DUMMYFUNCTION("""COMPUTED_VALUE"""),"increase all allies' attack power")</f>
        <v>increase all allies' attack power</v>
      </c>
      <c r="C48" s="222" t="str">
        <f>IFERROR(__xludf.DUMMYFUNCTION("""COMPUTED_VALUE"""),"All")</f>
        <v>All</v>
      </c>
      <c r="D48" s="222" t="str">
        <f>IFERROR(__xludf.DUMMYFUNCTION("""COMPUTED_VALUE"""),"Hero")</f>
        <v>Hero</v>
      </c>
      <c r="E48" s="222" t="str">
        <f>IFERROR(__xludf.DUMMYFUNCTION("""COMPUTED_VALUE"""),"Sylvando")</f>
        <v>Sylvando</v>
      </c>
      <c r="F48" s="222" t="str">
        <f>IFERROR(__xludf.DUMMYFUNCTION("""COMPUTED_VALUE"""),"--")</f>
        <v>--</v>
      </c>
      <c r="G48" s="222" t="str">
        <f>IFERROR(__xludf.DUMMYFUNCTION("""COMPUTED_VALUE"""),"--")</f>
        <v>--</v>
      </c>
    </row>
    <row r="49">
      <c r="A49" s="222" t="str">
        <f>IFERROR(__xludf.DUMMYFUNCTION("""COMPUTED_VALUE"""),"Hit Parade")</f>
        <v>Hit Parade</v>
      </c>
      <c r="B49" s="222" t="str">
        <f>IFERROR(__xludf.DUMMYFUNCTION("""COMPUTED_VALUE"""),"put on a show your friends and foes won't forget")</f>
        <v>put on a show your friends and foes won't forget</v>
      </c>
      <c r="C49" s="222" t="str">
        <f>IFERROR(__xludf.DUMMYFUNCTION("""COMPUTED_VALUE"""),"All")</f>
        <v>All</v>
      </c>
      <c r="D49" s="222" t="str">
        <f>IFERROR(__xludf.DUMMYFUNCTION("""COMPUTED_VALUE"""),"Hero")</f>
        <v>Hero</v>
      </c>
      <c r="E49" s="222" t="str">
        <f>IFERROR(__xludf.DUMMYFUNCTION("""COMPUTED_VALUE"""),"Sylvando")</f>
        <v>Sylvando</v>
      </c>
      <c r="F49" s="222" t="str">
        <f>IFERROR(__xludf.DUMMYFUNCTION("""COMPUTED_VALUE"""),"--")</f>
        <v>--</v>
      </c>
      <c r="G49" s="222" t="str">
        <f>IFERROR(__xludf.DUMMYFUNCTION("""COMPUTED_VALUE"""),"--")</f>
        <v>--</v>
      </c>
    </row>
    <row r="50">
      <c r="A50" s="222" t="str">
        <f>IFERROR(__xludf.DUMMYFUNCTION("""COMPUTED_VALUE"""),"Love Hurts")</f>
        <v>Love Hurts</v>
      </c>
      <c r="B50" s="222" t="str">
        <f>IFERROR(__xludf.DUMMYFUNCTION("""COMPUTED_VALUE"""),"paralyse a group of enemies")</f>
        <v>paralyse a group of enemies</v>
      </c>
      <c r="C50" s="222" t="str">
        <f>IFERROR(__xludf.DUMMYFUNCTION("""COMPUTED_VALUE"""),"All")</f>
        <v>All</v>
      </c>
      <c r="D50" s="222" t="str">
        <f>IFERROR(__xludf.DUMMYFUNCTION("""COMPUTED_VALUE"""),"Hero: Sword Stance")</f>
        <v>Hero: Sword Stance</v>
      </c>
      <c r="E50" s="222" t="str">
        <f>IFERROR(__xludf.DUMMYFUNCTION("""COMPUTED_VALUE"""),"Sylvando: That's Amore")</f>
        <v>Sylvando: That's Amore</v>
      </c>
      <c r="F50" s="222" t="str">
        <f>IFERROR(__xludf.DUMMYFUNCTION("""COMPUTED_VALUE"""),"--")</f>
        <v>--</v>
      </c>
      <c r="G50" s="222" t="str">
        <f>IFERROR(__xludf.DUMMYFUNCTION("""COMPUTED_VALUE"""),"--")</f>
        <v>--</v>
      </c>
    </row>
    <row r="51">
      <c r="A51" s="222" t="str">
        <f>IFERROR(__xludf.DUMMYFUNCTION("""COMPUTED_VALUE"""),"0 Zone")</f>
        <v>0 Zone</v>
      </c>
      <c r="B51" s="222" t="str">
        <f>IFERROR(__xludf.DUMMYFUNCTION("""COMPUTED_VALUE"""),"one ally casts spells for 0 MP for a few turns")</f>
        <v>one ally casts spells for 0 MP for a few turns</v>
      </c>
      <c r="C51" s="222" t="str">
        <f>IFERROR(__xludf.DUMMYFUNCTION("""COMPUTED_VALUE"""),"All")</f>
        <v>All</v>
      </c>
      <c r="D51" s="222" t="str">
        <f>IFERROR(__xludf.DUMMYFUNCTION("""COMPUTED_VALUE"""),"Hero")</f>
        <v>Hero</v>
      </c>
      <c r="E51" s="222" t="str">
        <f>IFERROR(__xludf.DUMMYFUNCTION("""COMPUTED_VALUE"""),"Rab")</f>
        <v>Rab</v>
      </c>
      <c r="F51" s="222" t="str">
        <f>IFERROR(__xludf.DUMMYFUNCTION("""COMPUTED_VALUE"""),"--")</f>
        <v>--</v>
      </c>
      <c r="G51" s="222" t="str">
        <f>IFERROR(__xludf.DUMMYFUNCTION("""COMPUTED_VALUE"""),"--")</f>
        <v>--</v>
      </c>
    </row>
    <row r="52">
      <c r="A52" s="222" t="str">
        <f>IFERROR(__xludf.DUMMYFUNCTION("""COMPUTED_VALUE"""),"Solar Flair")</f>
        <v>Solar Flair</v>
      </c>
      <c r="B52" s="222" t="str">
        <f>IFERROR(__xludf.DUMMYFUNCTION("""COMPUTED_VALUE"""),"attacl all enemies with light")</f>
        <v>attacl all enemies with light</v>
      </c>
      <c r="C52" s="222" t="str">
        <f>IFERROR(__xludf.DUMMYFUNCTION("""COMPUTED_VALUE"""),"All")</f>
        <v>All</v>
      </c>
      <c r="D52" s="222" t="str">
        <f>IFERROR(__xludf.DUMMYFUNCTION("""COMPUTED_VALUE"""),"Hero: Quadraslash")</f>
        <v>Hero: Quadraslash</v>
      </c>
      <c r="E52" s="222" t="str">
        <f>IFERROR(__xludf.DUMMYFUNCTION("""COMPUTED_VALUE"""),"Rab: Pearly Gates")</f>
        <v>Rab: Pearly Gates</v>
      </c>
      <c r="F52" s="222" t="str">
        <f>IFERROR(__xludf.DUMMYFUNCTION("""COMPUTED_VALUE"""),"--")</f>
        <v>--</v>
      </c>
      <c r="G52" s="222" t="str">
        <f>IFERROR(__xludf.DUMMYFUNCTION("""COMPUTED_VALUE"""),"--")</f>
        <v>--</v>
      </c>
    </row>
    <row r="53">
      <c r="A53" s="222" t="str">
        <f>IFERROR(__xludf.DUMMYFUNCTION("""COMPUTED_VALUE"""),"Roaring Tirade")</f>
        <v>Roaring Tirade</v>
      </c>
      <c r="B53" s="222" t="str">
        <f>IFERROR(__xludf.DUMMYFUNCTION("""COMPUTED_VALUE"""),"attack all enemies with a shock wave")</f>
        <v>attack all enemies with a shock wave</v>
      </c>
      <c r="C53" s="222" t="str">
        <f>IFERROR(__xludf.DUMMYFUNCTION("""COMPUTED_VALUE"""),"All")</f>
        <v>All</v>
      </c>
      <c r="D53" s="222" t="str">
        <f>IFERROR(__xludf.DUMMYFUNCTION("""COMPUTED_VALUE"""),"Hero")</f>
        <v>Hero</v>
      </c>
      <c r="E53" s="222" t="str">
        <f>IFERROR(__xludf.DUMMYFUNCTION("""COMPUTED_VALUE"""),"Jade")</f>
        <v>Jade</v>
      </c>
      <c r="F53" s="222" t="str">
        <f>IFERROR(__xludf.DUMMYFUNCTION("""COMPUTED_VALUE"""),"--")</f>
        <v>--</v>
      </c>
      <c r="G53" s="222" t="str">
        <f>IFERROR(__xludf.DUMMYFUNCTION("""COMPUTED_VALUE"""),"--")</f>
        <v>--</v>
      </c>
    </row>
    <row r="54">
      <c r="A54" s="222" t="str">
        <f>IFERROR(__xludf.DUMMYFUNCTION("""COMPUTED_VALUE"""),"Buff-Buff")</f>
        <v>Buff-Buff</v>
      </c>
      <c r="B54" s="222" t="str">
        <f>IFERROR(__xludf.DUMMYFUNCTION("""COMPUTED_VALUE"""),"strike a single enemy")</f>
        <v>strike a single enemy</v>
      </c>
      <c r="C54" s="222" t="str">
        <f>IFERROR(__xludf.DUMMYFUNCTION("""COMPUTED_VALUE"""),"All")</f>
        <v>All</v>
      </c>
      <c r="D54" s="222" t="str">
        <f>IFERROR(__xludf.DUMMYFUNCTION("""COMPUTED_VALUE"""),"Hero: Unbridled Blade")</f>
        <v>Hero: Unbridled Blade</v>
      </c>
      <c r="E54" s="222" t="str">
        <f>IFERROR(__xludf.DUMMYFUNCTION("""COMPUTED_VALUE"""),"Jade: Puff-Puff")</f>
        <v>Jade: Puff-Puff</v>
      </c>
      <c r="F54" s="222" t="str">
        <f>IFERROR(__xludf.DUMMYFUNCTION("""COMPUTED_VALUE"""),"--")</f>
        <v>--</v>
      </c>
      <c r="G54" s="222" t="str">
        <f>IFERROR(__xludf.DUMMYFUNCTION("""COMPUTED_VALUE"""),"--")</f>
        <v>--</v>
      </c>
    </row>
    <row r="55">
      <c r="A55" s="222" t="str">
        <f>IFERROR(__xludf.DUMMYFUNCTION("""COMPUTED_VALUE"""),"Steeds of Destruction")</f>
        <v>Steeds of Destruction</v>
      </c>
      <c r="B55" s="222" t="str">
        <f>IFERROR(__xludf.DUMMYFUNCTION("""COMPUTED_VALUE"""),"attacks random enemies")</f>
        <v>attacks random enemies</v>
      </c>
      <c r="C55" s="222" t="str">
        <f>IFERROR(__xludf.DUMMYFUNCTION("""COMPUTED_VALUE"""),"All")</f>
        <v>All</v>
      </c>
      <c r="D55" s="222" t="str">
        <f>IFERROR(__xludf.DUMMYFUNCTION("""COMPUTED_VALUE"""),"Hero: Sword Dance")</f>
        <v>Hero: Sword Dance</v>
      </c>
      <c r="E55" s="222" t="str">
        <f>IFERROR(__xludf.DUMMYFUNCTION("""COMPUTED_VALUE"""),"Eight: A Cut Above")</f>
        <v>Eight: A Cut Above</v>
      </c>
      <c r="F55" s="222" t="str">
        <f>IFERROR(__xludf.DUMMYFUNCTION("""COMPUTED_VALUE"""),"--")</f>
        <v>--</v>
      </c>
      <c r="G55" s="222" t="str">
        <f>IFERROR(__xludf.DUMMYFUNCTION("""COMPUTED_VALUE"""),"--")</f>
        <v>--</v>
      </c>
    </row>
    <row r="56">
      <c r="A56" s="222" t="str">
        <f>IFERROR(__xludf.DUMMYFUNCTION("""COMPUTED_VALUE"""),"A Blaze of Glory")</f>
        <v>A Blaze of Glory</v>
      </c>
      <c r="B56" s="222" t="str">
        <f>IFERROR(__xludf.DUMMYFUNCTION("""COMPUTED_VALUE"""),"increase users' atttack but lowers defence")</f>
        <v>increase users' atttack but lowers defence</v>
      </c>
      <c r="C56" s="222" t="str">
        <f>IFERROR(__xludf.DUMMYFUNCTION("""COMPUTED_VALUE"""),"All")</f>
        <v>All</v>
      </c>
      <c r="D56" s="222" t="str">
        <f>IFERROR(__xludf.DUMMYFUNCTION("""COMPUTED_VALUE"""),"Hero")</f>
        <v>Hero</v>
      </c>
      <c r="E56" s="222" t="str">
        <f>IFERROR(__xludf.DUMMYFUNCTION("""COMPUTED_VALUE"""),"Eight")</f>
        <v>Eight</v>
      </c>
      <c r="F56" s="222" t="str">
        <f>IFERROR(__xludf.DUMMYFUNCTION("""COMPUTED_VALUE"""),"--")</f>
        <v>--</v>
      </c>
      <c r="G56" s="222" t="str">
        <f>IFERROR(__xludf.DUMMYFUNCTION("""COMPUTED_VALUE"""),"--")</f>
        <v>--</v>
      </c>
    </row>
    <row r="57">
      <c r="A57" s="222" t="str">
        <f>IFERROR(__xludf.DUMMYFUNCTION("""COMPUTED_VALUE"""),"Arboria's Blessing")</f>
        <v>Arboria's Blessing</v>
      </c>
      <c r="B57" s="222" t="str">
        <f>IFERROR(__xludf.DUMMYFUNCTION("""COMPUTED_VALUE"""),"heal all allies and grant HP/MP regeneration")</f>
        <v>heal all allies and grant HP/MP regeneration</v>
      </c>
      <c r="C57" s="222" t="str">
        <f>IFERROR(__xludf.DUMMYFUNCTION("""COMPUTED_VALUE"""),"All")</f>
        <v>All</v>
      </c>
      <c r="D57" s="222" t="str">
        <f>IFERROR(__xludf.DUMMYFUNCTION("""COMPUTED_VALUE"""),"Veronica")</f>
        <v>Veronica</v>
      </c>
      <c r="E57" s="222" t="str">
        <f>IFERROR(__xludf.DUMMYFUNCTION("""COMPUTED_VALUE"""),"Serena")</f>
        <v>Serena</v>
      </c>
      <c r="F57" s="222" t="str">
        <f>IFERROR(__xludf.DUMMYFUNCTION("""COMPUTED_VALUE"""),"--")</f>
        <v>--</v>
      </c>
      <c r="G57" s="222" t="str">
        <f>IFERROR(__xludf.DUMMYFUNCTION("""COMPUTED_VALUE"""),"--")</f>
        <v>--</v>
      </c>
    </row>
    <row r="58">
      <c r="A58" s="222" t="str">
        <f>IFERROR(__xludf.DUMMYFUNCTION("""COMPUTED_VALUE"""),"Mighty Magic Burst")</f>
        <v>Mighty Magic Burst</v>
      </c>
      <c r="B58" s="222" t="str">
        <f>IFERROR(__xludf.DUMMYFUNCTION("""COMPUTED_VALUE"""),"spend all mp of both users to damage all enemies")</f>
        <v>spend all mp of both users to damage all enemies</v>
      </c>
      <c r="C58" s="222" t="str">
        <f>IFERROR(__xludf.DUMMYFUNCTION("""COMPUTED_VALUE"""),"All")</f>
        <v>All</v>
      </c>
      <c r="D58" s="222" t="str">
        <f>IFERROR(__xludf.DUMMYFUNCTION("""COMPUTED_VALUE"""),"Veronica")</f>
        <v>Veronica</v>
      </c>
      <c r="E58" s="222" t="str">
        <f>IFERROR(__xludf.DUMMYFUNCTION("""COMPUTED_VALUE"""),"Serena")</f>
        <v>Serena</v>
      </c>
      <c r="F58" s="222" t="str">
        <f>IFERROR(__xludf.DUMMYFUNCTION("""COMPUTED_VALUE"""),"--")</f>
        <v>--</v>
      </c>
      <c r="G58" s="222" t="str">
        <f>IFERROR(__xludf.DUMMYFUNCTION("""COMPUTED_VALUE"""),"--")</f>
        <v>--</v>
      </c>
    </row>
    <row r="59">
      <c r="A59" s="222" t="str">
        <f>IFERROR(__xludf.DUMMYFUNCTION("""COMPUTED_VALUE"""),"Who's the Daddy?")</f>
        <v>Who's the Daddy?</v>
      </c>
      <c r="B59" s="222" t="str">
        <f>IFERROR(__xludf.DUMMYFUNCTION("""COMPUTED_VALUE"""),"summon a legendary swords to strike one enemy")</f>
        <v>summon a legendary swords to strike one enemy</v>
      </c>
      <c r="C59" s="222" t="str">
        <f>IFERROR(__xludf.DUMMYFUNCTION("""COMPUTED_VALUE"""),"All")</f>
        <v>All</v>
      </c>
      <c r="D59" s="222" t="str">
        <f>IFERROR(__xludf.DUMMYFUNCTION("""COMPUTED_VALUE"""),"Sylvando")</f>
        <v>Sylvando</v>
      </c>
      <c r="E59" s="222" t="str">
        <f>IFERROR(__xludf.DUMMYFUNCTION("""COMPUTED_VALUE"""),"Eight")</f>
        <v>Eight</v>
      </c>
      <c r="F59" s="222" t="str">
        <f>IFERROR(__xludf.DUMMYFUNCTION("""COMPUTED_VALUE"""),"--")</f>
        <v>--</v>
      </c>
      <c r="G59" s="222" t="str">
        <f>IFERROR(__xludf.DUMMYFUNCTION("""COMPUTED_VALUE"""),"--")</f>
        <v>--</v>
      </c>
    </row>
    <row r="60">
      <c r="A60" s="222" t="str">
        <f>IFERROR(__xludf.DUMMYFUNCTION("""COMPUTED_VALUE"""),"Whacky Sack")</f>
        <v>Whacky Sack</v>
      </c>
      <c r="B60" s="222" t="str">
        <f>IFERROR(__xludf.DUMMYFUNCTION("""COMPUTED_VALUE"""),"send a ball of pure blackness at a group of enemies")</f>
        <v>send a ball of pure blackness at a group of enemies</v>
      </c>
      <c r="C60" s="222" t="str">
        <f>IFERROR(__xludf.DUMMYFUNCTION("""COMPUTED_VALUE"""),"All")</f>
        <v>All</v>
      </c>
      <c r="D60" s="222" t="str">
        <f>IFERROR(__xludf.DUMMYFUNCTION("""COMPUTED_VALUE"""),"Rab")</f>
        <v>Rab</v>
      </c>
      <c r="E60" s="222" t="str">
        <f>IFERROR(__xludf.DUMMYFUNCTION("""COMPUTED_VALUE"""),"Jade")</f>
        <v>Jade</v>
      </c>
      <c r="F60" s="222" t="str">
        <f>IFERROR(__xludf.DUMMYFUNCTION("""COMPUTED_VALUE"""),"--")</f>
        <v>--</v>
      </c>
      <c r="G60" s="222" t="str">
        <f>IFERROR(__xludf.DUMMYFUNCTION("""COMPUTED_VALUE"""),"--")</f>
        <v>--</v>
      </c>
    </row>
    <row r="61">
      <c r="A61" s="222" t="str">
        <f>IFERROR(__xludf.DUMMYFUNCTION("""COMPUTED_VALUE"""),"Rush of Blood")</f>
        <v>Rush of Blood</v>
      </c>
      <c r="B61" s="222" t="str">
        <f>IFERROR(__xludf.DUMMYFUNCTION("""COMPUTED_VALUE"""),"buffs Rab but HP drops to 1 when effect ends")</f>
        <v>buffs Rab but HP drops to 1 when effect ends</v>
      </c>
      <c r="C61" s="222" t="str">
        <f>IFERROR(__xludf.DUMMYFUNCTION("""COMPUTED_VALUE"""),"All")</f>
        <v>All</v>
      </c>
      <c r="D61" s="222" t="str">
        <f>IFERROR(__xludf.DUMMYFUNCTION("""COMPUTED_VALUE"""),"Rab: Caster Sugar")</f>
        <v>Rab: Caster Sugar</v>
      </c>
      <c r="E61" s="222" t="str">
        <f>IFERROR(__xludf.DUMMYFUNCTION("""COMPUTED_VALUE"""),"Jade: Puff-Puff")</f>
        <v>Jade: Puff-Puff</v>
      </c>
      <c r="F61" s="222" t="str">
        <f>IFERROR(__xludf.DUMMYFUNCTION("""COMPUTED_VALUE"""),"--")</f>
        <v>--</v>
      </c>
      <c r="G61" s="222" t="str">
        <f>IFERROR(__xludf.DUMMYFUNCTION("""COMPUTED_VALUE"""),"--")</f>
        <v>--</v>
      </c>
    </row>
    <row r="62">
      <c r="A62" s="222" t="str">
        <f>IFERROR(__xludf.DUMMYFUNCTION("""COMPUTED_VALUE"""),"Wild Side")</f>
        <v>Wild Side</v>
      </c>
      <c r="B62" s="222" t="str">
        <f>IFERROR(__xludf.DUMMYFUNCTION("""COMPUTED_VALUE"""),"Erik stats up + can make two moves per turn")</f>
        <v>Erik stats up + can make two moves per turn</v>
      </c>
      <c r="C62" s="222" t="str">
        <f>IFERROR(__xludf.DUMMYFUNCTION("""COMPUTED_VALUE"""),"All")</f>
        <v>All</v>
      </c>
      <c r="D62" s="222" t="str">
        <f>IFERROR(__xludf.DUMMYFUNCTION("""COMPUTED_VALUE"""),"Hero")</f>
        <v>Hero</v>
      </c>
      <c r="E62" s="222" t="str">
        <f>IFERROR(__xludf.DUMMYFUNCTION("""COMPUTED_VALUE"""),"Erik")</f>
        <v>Erik</v>
      </c>
      <c r="F62" s="222" t="str">
        <f>IFERROR(__xludf.DUMMYFUNCTION("""COMPUTED_VALUE"""),"Serena")</f>
        <v>Serena</v>
      </c>
      <c r="G62" s="222" t="str">
        <f>IFERROR(__xludf.DUMMYFUNCTION("""COMPUTED_VALUE"""),"--")</f>
        <v>--</v>
      </c>
    </row>
    <row r="63">
      <c r="A63" s="222" t="str">
        <f>IFERROR(__xludf.DUMMYFUNCTION("""COMPUTED_VALUE"""),"Tundra and Lightning")</f>
        <v>Tundra and Lightning</v>
      </c>
      <c r="B63" s="222" t="str">
        <f>IFERROR(__xludf.DUMMYFUNCTION("""COMPUTED_VALUE"""),"lower all enemies' resistance to ice, lightning, earth")</f>
        <v>lower all enemies' resistance to ice, lightning, earth</v>
      </c>
      <c r="C63" s="222" t="str">
        <f>IFERROR(__xludf.DUMMYFUNCTION("""COMPUTED_VALUE"""),"All")</f>
        <v>All</v>
      </c>
      <c r="D63" s="222" t="str">
        <f>IFERROR(__xludf.DUMMYFUNCTION("""COMPUTED_VALUE"""),"Hero")</f>
        <v>Hero</v>
      </c>
      <c r="E63" s="222" t="str">
        <f>IFERROR(__xludf.DUMMYFUNCTION("""COMPUTED_VALUE"""),"Erik")</f>
        <v>Erik</v>
      </c>
      <c r="F63" s="222" t="str">
        <f>IFERROR(__xludf.DUMMYFUNCTION("""COMPUTED_VALUE"""),"Veronica")</f>
        <v>Veronica</v>
      </c>
      <c r="G63" s="222" t="str">
        <f>IFERROR(__xludf.DUMMYFUNCTION("""COMPUTED_VALUE"""),"--")</f>
        <v>--</v>
      </c>
    </row>
    <row r="64">
      <c r="A64" s="222" t="str">
        <f>IFERROR(__xludf.DUMMYFUNCTION("""COMPUTED_VALUE"""),"Rough 'n' Tumble")</f>
        <v>Rough 'n' Tumble</v>
      </c>
      <c r="B64" s="222" t="str">
        <f>IFERROR(__xludf.DUMMYFUNCTION("""COMPUTED_VALUE"""),"increase party evasion and counter-attack rate")</f>
        <v>increase party evasion and counter-attack rate</v>
      </c>
      <c r="C64" s="222" t="str">
        <f>IFERROR(__xludf.DUMMYFUNCTION("""COMPUTED_VALUE"""),"All")</f>
        <v>All</v>
      </c>
      <c r="D64" s="222" t="str">
        <f>IFERROR(__xludf.DUMMYFUNCTION("""COMPUTED_VALUE"""),"Hero")</f>
        <v>Hero</v>
      </c>
      <c r="E64" s="222" t="str">
        <f>IFERROR(__xludf.DUMMYFUNCTION("""COMPUTED_VALUE"""),"Erik")</f>
        <v>Erik</v>
      </c>
      <c r="F64" s="222" t="str">
        <f>IFERROR(__xludf.DUMMYFUNCTION("""COMPUTED_VALUE"""),"Sylvando")</f>
        <v>Sylvando</v>
      </c>
      <c r="G64" s="222" t="str">
        <f>IFERROR(__xludf.DUMMYFUNCTION("""COMPUTED_VALUE"""),"--")</f>
        <v>--</v>
      </c>
    </row>
    <row r="65">
      <c r="A65" s="222" t="str">
        <f>IFERROR(__xludf.DUMMYFUNCTION("""COMPUTED_VALUE"""),"Fire and Grimstone")</f>
        <v>Fire and Grimstone</v>
      </c>
      <c r="B65" s="222" t="str">
        <f>IFERROR(__xludf.DUMMYFUNCTION("""COMPUTED_VALUE"""),"lower all enemies' resistance to dark, fire, earth")</f>
        <v>lower all enemies' resistance to dark, fire, earth</v>
      </c>
      <c r="C65" s="222" t="str">
        <f>IFERROR(__xludf.DUMMYFUNCTION("""COMPUTED_VALUE"""),"All")</f>
        <v>All</v>
      </c>
      <c r="D65" s="222" t="str">
        <f>IFERROR(__xludf.DUMMYFUNCTION("""COMPUTED_VALUE"""),"Hero")</f>
        <v>Hero</v>
      </c>
      <c r="E65" s="222" t="str">
        <f>IFERROR(__xludf.DUMMYFUNCTION("""COMPUTED_VALUE"""),"Erik")</f>
        <v>Erik</v>
      </c>
      <c r="F65" s="222" t="str">
        <f>IFERROR(__xludf.DUMMYFUNCTION("""COMPUTED_VALUE"""),"Rab")</f>
        <v>Rab</v>
      </c>
      <c r="G65" s="222" t="str">
        <f>IFERROR(__xludf.DUMMYFUNCTION("""COMPUTED_VALUE"""),"--")</f>
        <v>--</v>
      </c>
    </row>
    <row r="66">
      <c r="A66" s="222" t="str">
        <f>IFERROR(__xludf.DUMMYFUNCTION("""COMPUTED_VALUE"""),"Haulellujah")</f>
        <v>Haulellujah</v>
      </c>
      <c r="B66" s="222" t="str">
        <f>IFERROR(__xludf.DUMMYFUNCTION("""COMPUTED_VALUE"""),"increase experience, gold, drop rate")</f>
        <v>increase experience, gold, drop rate</v>
      </c>
      <c r="C66" s="222" t="str">
        <f>IFERROR(__xludf.DUMMYFUNCTION("""COMPUTED_VALUE"""),"All")</f>
        <v>All</v>
      </c>
      <c r="D66" s="222" t="str">
        <f>IFERROR(__xludf.DUMMYFUNCTION("""COMPUTED_VALUE"""),"Hero")</f>
        <v>Hero</v>
      </c>
      <c r="E66" s="222" t="str">
        <f>IFERROR(__xludf.DUMMYFUNCTION("""COMPUTED_VALUE"""),"Erik")</f>
        <v>Erik</v>
      </c>
      <c r="F66" s="222" t="str">
        <f>IFERROR(__xludf.DUMMYFUNCTION("""COMPUTED_VALUE"""),"Jade")</f>
        <v>Jade</v>
      </c>
      <c r="G66" s="222" t="str">
        <f>IFERROR(__xludf.DUMMYFUNCTION("""COMPUTED_VALUE"""),"--")</f>
        <v>--</v>
      </c>
    </row>
    <row r="67">
      <c r="A67" s="222" t="str">
        <f>IFERROR(__xludf.DUMMYFUNCTION("""COMPUTED_VALUE"""),"Falcon Trinity")</f>
        <v>Falcon Trinity</v>
      </c>
      <c r="B67" s="222" t="str">
        <f>IFERROR(__xludf.DUMMYFUNCTION("""COMPUTED_VALUE"""),"swift and certain suffering to a single enemy")</f>
        <v>swift and certain suffering to a single enemy</v>
      </c>
      <c r="C67" s="222" t="str">
        <f>IFERROR(__xludf.DUMMYFUNCTION("""COMPUTED_VALUE"""),"All")</f>
        <v>All</v>
      </c>
      <c r="D67" s="222" t="str">
        <f>IFERROR(__xludf.DUMMYFUNCTION("""COMPUTED_VALUE"""),"Hero")</f>
        <v>Hero</v>
      </c>
      <c r="E67" s="222" t="str">
        <f>IFERROR(__xludf.DUMMYFUNCTION("""COMPUTED_VALUE"""),"Erik")</f>
        <v>Erik</v>
      </c>
      <c r="F67" s="222" t="str">
        <f>IFERROR(__xludf.DUMMYFUNCTION("""COMPUTED_VALUE"""),"Eight")</f>
        <v>Eight</v>
      </c>
      <c r="G67" s="222" t="str">
        <f>IFERROR(__xludf.DUMMYFUNCTION("""COMPUTED_VALUE"""),"--")</f>
        <v>--</v>
      </c>
    </row>
    <row r="68">
      <c r="A68" s="222" t="str">
        <f>IFERROR(__xludf.DUMMYFUNCTION("""COMPUTED_VALUE"""),"Echo Aura")</f>
        <v>Echo Aura</v>
      </c>
      <c r="B68" s="222" t="str">
        <f>IFERROR(__xludf.DUMMYFUNCTION("""COMPUTED_VALUE"""),"gives Veronica's spells a chance to repeat for free")</f>
        <v>gives Veronica's spells a chance to repeat for free</v>
      </c>
      <c r="C68" s="222" t="str">
        <f>IFERROR(__xludf.DUMMYFUNCTION("""COMPUTED_VALUE"""),"All")</f>
        <v>All</v>
      </c>
      <c r="D68" s="222" t="str">
        <f>IFERROR(__xludf.DUMMYFUNCTION("""COMPUTED_VALUE"""),"Hero")</f>
        <v>Hero</v>
      </c>
      <c r="E68" s="222" t="str">
        <f>IFERROR(__xludf.DUMMYFUNCTION("""COMPUTED_VALUE"""),"Veronica")</f>
        <v>Veronica</v>
      </c>
      <c r="F68" s="222" t="str">
        <f>IFERROR(__xludf.DUMMYFUNCTION("""COMPUTED_VALUE"""),"Serena")</f>
        <v>Serena</v>
      </c>
      <c r="G68" s="222" t="str">
        <f>IFERROR(__xludf.DUMMYFUNCTION("""COMPUTED_VALUE"""),"--")</f>
        <v>--</v>
      </c>
    </row>
    <row r="69">
      <c r="A69" s="222" t="str">
        <f>IFERROR(__xludf.DUMMYFUNCTION("""COMPUTED_VALUE"""),"Shocking Twist")</f>
        <v>Shocking Twist</v>
      </c>
      <c r="B69" s="222" t="str">
        <f>IFERROR(__xludf.DUMMYFUNCTION("""COMPUTED_VALUE"""),"causes any foe attacking Sylvando to be paralyzed")</f>
        <v>causes any foe attacking Sylvando to be paralyzed</v>
      </c>
      <c r="C69" s="222" t="str">
        <f>IFERROR(__xludf.DUMMYFUNCTION("""COMPUTED_VALUE"""),"All")</f>
        <v>All</v>
      </c>
      <c r="D69" s="222" t="str">
        <f>IFERROR(__xludf.DUMMYFUNCTION("""COMPUTED_VALUE"""),"Hero")</f>
        <v>Hero</v>
      </c>
      <c r="E69" s="222" t="str">
        <f>IFERROR(__xludf.DUMMYFUNCTION("""COMPUTED_VALUE"""),"Sylvando")</f>
        <v>Sylvando</v>
      </c>
      <c r="F69" s="222" t="str">
        <f>IFERROR(__xludf.DUMMYFUNCTION("""COMPUTED_VALUE"""),"Serena")</f>
        <v>Serena</v>
      </c>
      <c r="G69" s="222" t="str">
        <f>IFERROR(__xludf.DUMMYFUNCTION("""COMPUTED_VALUE"""),"--")</f>
        <v>--</v>
      </c>
    </row>
    <row r="70">
      <c r="A70" s="222" t="str">
        <f>IFERROR(__xludf.DUMMYFUNCTION("""COMPUTED_VALUE"""),"Saint's Ascension")</f>
        <v>Saint's Ascension</v>
      </c>
      <c r="B70" s="222" t="str">
        <f>IFERROR(__xludf.DUMMYFUNCTION("""COMPUTED_VALUE"""),"gives Serena an ability to completely heal all allies")</f>
        <v>gives Serena an ability to completely heal all allies</v>
      </c>
      <c r="C70" s="222" t="str">
        <f>IFERROR(__xludf.DUMMYFUNCTION("""COMPUTED_VALUE"""),"All")</f>
        <v>All</v>
      </c>
      <c r="D70" s="222" t="str">
        <f>IFERROR(__xludf.DUMMYFUNCTION("""COMPUTED_VALUE"""),"Hero")</f>
        <v>Hero</v>
      </c>
      <c r="E70" s="222" t="str">
        <f>IFERROR(__xludf.DUMMYFUNCTION("""COMPUTED_VALUE"""),"Serena")</f>
        <v>Serena</v>
      </c>
      <c r="F70" s="222" t="str">
        <f>IFERROR(__xludf.DUMMYFUNCTION("""COMPUTED_VALUE"""),"Rab")</f>
        <v>Rab</v>
      </c>
      <c r="G70" s="222" t="str">
        <f>IFERROR(__xludf.DUMMYFUNCTION("""COMPUTED_VALUE"""),"--")</f>
        <v>--</v>
      </c>
    </row>
    <row r="71">
      <c r="A71" s="222" t="str">
        <f>IFERROR(__xludf.DUMMYFUNCTION("""COMPUTED_VALUE"""),"Brownie Boost")</f>
        <v>Brownie Boost</v>
      </c>
      <c r="B71" s="222" t="str">
        <f>IFERROR(__xludf.DUMMYFUNCTION("""COMPUTED_VALUE"""),"increase all allies' attack and defense, HP/MP regen")</f>
        <v>increase all allies' attack and defense, HP/MP regen</v>
      </c>
      <c r="C71" s="222" t="str">
        <f>IFERROR(__xludf.DUMMYFUNCTION("""COMPUTED_VALUE"""),"All")</f>
        <v>All</v>
      </c>
      <c r="D71" s="222" t="str">
        <f>IFERROR(__xludf.DUMMYFUNCTION("""COMPUTED_VALUE"""),"Hero")</f>
        <v>Hero</v>
      </c>
      <c r="E71" s="222" t="str">
        <f>IFERROR(__xludf.DUMMYFUNCTION("""COMPUTED_VALUE"""),"Serena")</f>
        <v>Serena</v>
      </c>
      <c r="F71" s="222" t="str">
        <f>IFERROR(__xludf.DUMMYFUNCTION("""COMPUTED_VALUE"""),"Jade")</f>
        <v>Jade</v>
      </c>
      <c r="G71" s="222" t="str">
        <f>IFERROR(__xludf.DUMMYFUNCTION("""COMPUTED_VALUE"""),"--")</f>
        <v>--</v>
      </c>
    </row>
    <row r="72">
      <c r="A72" s="222" t="str">
        <f>IFERROR(__xludf.DUMMYFUNCTION("""COMPUTED_VALUE"""),"Knight's Mandate")</f>
        <v>Knight's Mandate</v>
      </c>
      <c r="B72" s="222" t="str">
        <f>IFERROR(__xludf.DUMMYFUNCTION("""COMPUTED_VALUE"""),"allows Eight to use an ability to absorb enemy attacks")</f>
        <v>allows Eight to use an ability to absorb enemy attacks</v>
      </c>
      <c r="C72" s="222" t="str">
        <f>IFERROR(__xludf.DUMMYFUNCTION("""COMPUTED_VALUE"""),"All")</f>
        <v>All</v>
      </c>
      <c r="D72" s="222" t="str">
        <f>IFERROR(__xludf.DUMMYFUNCTION("""COMPUTED_VALUE"""),"Hero")</f>
        <v>Hero</v>
      </c>
      <c r="E72" s="222" t="str">
        <f>IFERROR(__xludf.DUMMYFUNCTION("""COMPUTED_VALUE"""),"Eight")</f>
        <v>Eight</v>
      </c>
      <c r="F72" s="222" t="str">
        <f>IFERROR(__xludf.DUMMYFUNCTION("""COMPUTED_VALUE"""),"Serena")</f>
        <v>Serena</v>
      </c>
      <c r="G72" s="222" t="str">
        <f>IFERROR(__xludf.DUMMYFUNCTION("""COMPUTED_VALUE"""),"--")</f>
        <v>--</v>
      </c>
    </row>
    <row r="73">
      <c r="A73" s="222" t="str">
        <f>IFERROR(__xludf.DUMMYFUNCTION("""COMPUTED_VALUE"""),"Shooting Stars")</f>
        <v>Shooting Stars</v>
      </c>
      <c r="B73" s="222" t="str">
        <f>IFERROR(__xludf.DUMMYFUNCTION("""COMPUTED_VALUE"""),"speed and evasion boost for entire party")</f>
        <v>speed and evasion boost for entire party</v>
      </c>
      <c r="C73" s="222" t="str">
        <f>IFERROR(__xludf.DUMMYFUNCTION("""COMPUTED_VALUE"""),"All")</f>
        <v>All</v>
      </c>
      <c r="D73" s="222" t="str">
        <f>IFERROR(__xludf.DUMMYFUNCTION("""COMPUTED_VALUE"""),"Hero")</f>
        <v>Hero</v>
      </c>
      <c r="E73" s="222" t="str">
        <f>IFERROR(__xludf.DUMMYFUNCTION("""COMPUTED_VALUE"""),"Veronica")</f>
        <v>Veronica</v>
      </c>
      <c r="F73" s="222" t="str">
        <f>IFERROR(__xludf.DUMMYFUNCTION("""COMPUTED_VALUE"""),"Sylvando")</f>
        <v>Sylvando</v>
      </c>
      <c r="G73" s="222" t="str">
        <f>IFERROR(__xludf.DUMMYFUNCTION("""COMPUTED_VALUE"""),"--")</f>
        <v>--</v>
      </c>
    </row>
    <row r="74">
      <c r="A74" s="222" t="str">
        <f>IFERROR(__xludf.DUMMYFUNCTION("""COMPUTED_VALUE"""),"Cast Away")</f>
        <v>Cast Away</v>
      </c>
      <c r="B74" s="222" t="str">
        <f>IFERROR(__xludf.DUMMYFUNCTION("""COMPUTED_VALUE"""),"most spells/abilites cost 0 mp for the party for a few turns")</f>
        <v>most spells/abilites cost 0 mp for the party for a few turns</v>
      </c>
      <c r="C74" s="222" t="str">
        <f>IFERROR(__xludf.DUMMYFUNCTION("""COMPUTED_VALUE"""),"All")</f>
        <v>All</v>
      </c>
      <c r="D74" s="222" t="str">
        <f>IFERROR(__xludf.DUMMYFUNCTION("""COMPUTED_VALUE"""),"Hero")</f>
        <v>Hero</v>
      </c>
      <c r="E74" s="222" t="str">
        <f>IFERROR(__xludf.DUMMYFUNCTION("""COMPUTED_VALUE"""),"Veronica")</f>
        <v>Veronica</v>
      </c>
      <c r="F74" s="222" t="str">
        <f>IFERROR(__xludf.DUMMYFUNCTION("""COMPUTED_VALUE"""),"Rab")</f>
        <v>Rab</v>
      </c>
      <c r="G74" s="222" t="str">
        <f>IFERROR(__xludf.DUMMYFUNCTION("""COMPUTED_VALUE"""),"--")</f>
        <v>--</v>
      </c>
    </row>
    <row r="75">
      <c r="A75" s="222" t="str">
        <f>IFERROR(__xludf.DUMMYFUNCTION("""COMPUTED_VALUE"""),"Re-Revamp")</f>
        <v>Re-Revamp</v>
      </c>
      <c r="B75" s="222" t="str">
        <f>IFERROR(__xludf.DUMMYFUNCTION("""COMPUTED_VALUE"""),"Increase Jade's stats and place her back in pep")</f>
        <v>Increase Jade's stats and place her back in pep</v>
      </c>
      <c r="C75" s="222" t="str">
        <f>IFERROR(__xludf.DUMMYFUNCTION("""COMPUTED_VALUE"""),"All")</f>
        <v>All</v>
      </c>
      <c r="D75" s="222" t="str">
        <f>IFERROR(__xludf.DUMMYFUNCTION("""COMPUTED_VALUE"""),"Hero")</f>
        <v>Hero</v>
      </c>
      <c r="E75" s="222" t="str">
        <f>IFERROR(__xludf.DUMMYFUNCTION("""COMPUTED_VALUE"""),"Jade: Re-Vamp")</f>
        <v>Jade: Re-Vamp</v>
      </c>
      <c r="F75" s="222" t="str">
        <f>IFERROR(__xludf.DUMMYFUNCTION("""COMPUTED_VALUE"""),"Veronica")</f>
        <v>Veronica</v>
      </c>
      <c r="G75" s="222" t="str">
        <f>IFERROR(__xludf.DUMMYFUNCTION("""COMPUTED_VALUE"""),"--")</f>
        <v>--</v>
      </c>
    </row>
    <row r="76">
      <c r="A76" s="222" t="str">
        <f>IFERROR(__xludf.DUMMYFUNCTION("""COMPUTED_VALUE"""),"Lightmare")</f>
        <v>Lightmare</v>
      </c>
      <c r="B76" s="222" t="str">
        <f>IFERROR(__xludf.DUMMYFUNCTION("""COMPUTED_VALUE"""),"damage a single enemy with a sacred steed")</f>
        <v>damage a single enemy with a sacred steed</v>
      </c>
      <c r="C76" s="222" t="str">
        <f>IFERROR(__xludf.DUMMYFUNCTION("""COMPUTED_VALUE"""),"All")</f>
        <v>All</v>
      </c>
      <c r="D76" s="222" t="str">
        <f>IFERROR(__xludf.DUMMYFUNCTION("""COMPUTED_VALUE"""),"Hero")</f>
        <v>Hero</v>
      </c>
      <c r="E76" s="222" t="str">
        <f>IFERROR(__xludf.DUMMYFUNCTION("""COMPUTED_VALUE"""),"Veronica: Kaboomle")</f>
        <v>Veronica: Kaboomle</v>
      </c>
      <c r="F76" s="222" t="str">
        <f>IFERROR(__xludf.DUMMYFUNCTION("""COMPUTED_VALUE"""),"Eight")</f>
        <v>Eight</v>
      </c>
      <c r="G76" s="222" t="str">
        <f>IFERROR(__xludf.DUMMYFUNCTION("""COMPUTED_VALUE"""),"--")</f>
        <v>--</v>
      </c>
    </row>
    <row r="77">
      <c r="A77" s="222" t="str">
        <f>IFERROR(__xludf.DUMMYFUNCTION("""COMPUTED_VALUE"""),"Ultra Violet")</f>
        <v>Ultra Violet</v>
      </c>
      <c r="B77" s="222" t="str">
        <f>IFERROR(__xludf.DUMMYFUNCTION("""COMPUTED_VALUE"""),"cut and confuse all enemies")</f>
        <v>cut and confuse all enemies</v>
      </c>
      <c r="C77" s="222" t="str">
        <f>IFERROR(__xludf.DUMMYFUNCTION("""COMPUTED_VALUE"""),"All")</f>
        <v>All</v>
      </c>
      <c r="D77" s="222" t="str">
        <f>IFERROR(__xludf.DUMMYFUNCTION("""COMPUTED_VALUE"""),"Hero")</f>
        <v>Hero</v>
      </c>
      <c r="E77" s="222" t="str">
        <f>IFERROR(__xludf.DUMMYFUNCTION("""COMPUTED_VALUE"""),"Sylvando: Pink Pirouette")</f>
        <v>Sylvando: Pink Pirouette</v>
      </c>
      <c r="F77" s="222" t="str">
        <f>IFERROR(__xludf.DUMMYFUNCTION("""COMPUTED_VALUE"""),"Rab")</f>
        <v>Rab</v>
      </c>
      <c r="G77" s="222" t="str">
        <f>IFERROR(__xludf.DUMMYFUNCTION("""COMPUTED_VALUE"""),"--")</f>
        <v>--</v>
      </c>
    </row>
    <row r="78">
      <c r="A78" s="222" t="str">
        <f>IFERROR(__xludf.DUMMYFUNCTION("""COMPUTED_VALUE"""),"Electro Light")</f>
        <v>Electro Light</v>
      </c>
      <c r="B78" s="222" t="str">
        <f>IFERROR(__xludf.DUMMYFUNCTION("""COMPUTED_VALUE"""),"chance to turn all enemies into metals or robots")</f>
        <v>chance to turn all enemies into metals or robots</v>
      </c>
      <c r="C78" s="222" t="str">
        <f>IFERROR(__xludf.DUMMYFUNCTION("""COMPUTED_VALUE"""),"All")</f>
        <v>All</v>
      </c>
      <c r="D78" s="222" t="str">
        <f>IFERROR(__xludf.DUMMYFUNCTION("""COMPUTED_VALUE"""),"Hero")</f>
        <v>Hero</v>
      </c>
      <c r="E78" s="222" t="str">
        <f>IFERROR(__xludf.DUMMYFUNCTION("""COMPUTED_VALUE"""),"Sylvando")</f>
        <v>Sylvando</v>
      </c>
      <c r="F78" s="222" t="str">
        <f>IFERROR(__xludf.DUMMYFUNCTION("""COMPUTED_VALUE"""),"Jade")</f>
        <v>Jade</v>
      </c>
      <c r="G78" s="222" t="str">
        <f>IFERROR(__xludf.DUMMYFUNCTION("""COMPUTED_VALUE"""),"--")</f>
        <v>--</v>
      </c>
    </row>
    <row r="79">
      <c r="A79" s="222" t="str">
        <f>IFERROR(__xludf.DUMMYFUNCTION("""COMPUTED_VALUE"""),"Arise")</f>
        <v>Arise</v>
      </c>
      <c r="B79" s="222" t="str">
        <f>IFERROR(__xludf.DUMMYFUNCTION("""COMPUTED_VALUE"""),"Increase Hero's stats and place him back in pep")</f>
        <v>Increase Hero's stats and place him back in pep</v>
      </c>
      <c r="C79" s="222" t="str">
        <f>IFERROR(__xludf.DUMMYFUNCTION("""COMPUTED_VALUE"""),"All")</f>
        <v>All</v>
      </c>
      <c r="D79" s="222" t="str">
        <f>IFERROR(__xludf.DUMMYFUNCTION("""COMPUTED_VALUE"""),"Hero")</f>
        <v>Hero</v>
      </c>
      <c r="E79" s="222" t="str">
        <f>IFERROR(__xludf.DUMMYFUNCTION("""COMPUTED_VALUE"""),"Sylvando")</f>
        <v>Sylvando</v>
      </c>
      <c r="F79" s="222" t="str">
        <f>IFERROR(__xludf.DUMMYFUNCTION("""COMPUTED_VALUE"""),"Eight")</f>
        <v>Eight</v>
      </c>
      <c r="G79" s="222" t="str">
        <f>IFERROR(__xludf.DUMMYFUNCTION("""COMPUTED_VALUE"""),"--")</f>
        <v>--</v>
      </c>
    </row>
    <row r="80">
      <c r="A80" s="222" t="str">
        <f>IFERROR(__xludf.DUMMYFUNCTION("""COMPUTED_VALUE"""),"Kazapple")</f>
        <v>Kazapple</v>
      </c>
      <c r="B80" s="222" t="str">
        <f>IFERROR(__xludf.DUMMYFUNCTION("""COMPUTED_VALUE"""),"strike all enemies, chance to freeze")</f>
        <v>strike all enemies, chance to freeze</v>
      </c>
      <c r="C80" s="222" t="str">
        <f>IFERROR(__xludf.DUMMYFUNCTION("""COMPUTED_VALUE"""),"All")</f>
        <v>All</v>
      </c>
      <c r="D80" s="222" t="str">
        <f>IFERROR(__xludf.DUMMYFUNCTION("""COMPUTED_VALUE"""),"Hero: Zapple")</f>
        <v>Hero: Zapple</v>
      </c>
      <c r="E80" s="222" t="str">
        <f>IFERROR(__xludf.DUMMYFUNCTION("""COMPUTED_VALUE"""),"Jade: Lightning Storm")</f>
        <v>Jade: Lightning Storm</v>
      </c>
      <c r="F80" s="222" t="str">
        <f>IFERROR(__xludf.DUMMYFUNCTION("""COMPUTED_VALUE"""),"Rab")</f>
        <v>Rab</v>
      </c>
      <c r="G80" s="222" t="str">
        <f>IFERROR(__xludf.DUMMYFUNCTION("""COMPUTED_VALUE"""),"--")</f>
        <v>--</v>
      </c>
    </row>
    <row r="81">
      <c r="A81" s="222" t="str">
        <f>IFERROR(__xludf.DUMMYFUNCTION("""COMPUTED_VALUE"""),"Bolder Toss")</f>
        <v>Bolder Toss</v>
      </c>
      <c r="B81" s="222" t="str">
        <f>IFERROR(__xludf.DUMMYFUNCTION("""COMPUTED_VALUE"""),"damage all enemies with a rock")</f>
        <v>damage all enemies with a rock</v>
      </c>
      <c r="C81" s="222" t="str">
        <f>IFERROR(__xludf.DUMMYFUNCTION("""COMPUTED_VALUE"""),"All")</f>
        <v>All</v>
      </c>
      <c r="D81" s="222" t="str">
        <f>IFERROR(__xludf.DUMMYFUNCTION("""COMPUTED_VALUE"""),"Hero")</f>
        <v>Hero</v>
      </c>
      <c r="E81" s="222" t="str">
        <f>IFERROR(__xludf.DUMMYFUNCTION("""COMPUTED_VALUE"""),"Rab")</f>
        <v>Rab</v>
      </c>
      <c r="F81" s="222" t="str">
        <f>IFERROR(__xludf.DUMMYFUNCTION("""COMPUTED_VALUE"""),"Eight")</f>
        <v>Eight</v>
      </c>
      <c r="G81" s="222" t="str">
        <f>IFERROR(__xludf.DUMMYFUNCTION("""COMPUTED_VALUE"""),"--")</f>
        <v>--</v>
      </c>
    </row>
    <row r="82">
      <c r="A82" s="222" t="str">
        <f>IFERROR(__xludf.DUMMYFUNCTION("""COMPUTED_VALUE"""),"Fly-By Knight")</f>
        <v>Fly-By Knight</v>
      </c>
      <c r="B82" s="222" t="str">
        <f>IFERROR(__xludf.DUMMYFUNCTION("""COMPUTED_VALUE"""),"fire a metal missile at the enemy")</f>
        <v>fire a metal missile at the enemy</v>
      </c>
      <c r="C82" s="222" t="str">
        <f>IFERROR(__xludf.DUMMYFUNCTION("""COMPUTED_VALUE"""),"All")</f>
        <v>All</v>
      </c>
      <c r="D82" s="222" t="str">
        <f>IFERROR(__xludf.DUMMYFUNCTION("""COMPUTED_VALUE"""),"Hero: Kaclang")</f>
        <v>Hero: Kaclang</v>
      </c>
      <c r="E82" s="222" t="str">
        <f>IFERROR(__xludf.DUMMYFUNCTION("""COMPUTED_VALUE"""),"Jade")</f>
        <v>Jade</v>
      </c>
      <c r="F82" s="222" t="str">
        <f>IFERROR(__xludf.DUMMYFUNCTION("""COMPUTED_VALUE"""),"Eight")</f>
        <v>Eight</v>
      </c>
      <c r="G82" s="222" t="str">
        <f>IFERROR(__xludf.DUMMYFUNCTION("""COMPUTED_VALUE"""),"--")</f>
        <v>--</v>
      </c>
    </row>
    <row r="83">
      <c r="A83" s="222" t="str">
        <f>IFERROR(__xludf.DUMMYFUNCTION("""COMPUTED_VALUE"""),"Gigaburst")</f>
        <v>Gigaburst</v>
      </c>
      <c r="B83" s="222" t="str">
        <f>IFERROR(__xludf.DUMMYFUNCTION("""COMPUTED_VALUE"""),"slice the enemy with the power of friendship")</f>
        <v>slice the enemy with the power of friendship</v>
      </c>
      <c r="C83" s="222" t="str">
        <f>IFERROR(__xludf.DUMMYFUNCTION("""COMPUTED_VALUE"""),"All")</f>
        <v>All</v>
      </c>
      <c r="D83" s="222" t="str">
        <f>IFERROR(__xludf.DUMMYFUNCTION("""COMPUTED_VALUE"""),"Hero: Gigaslash/Gigasmash")</f>
        <v>Hero: Gigaslash/Gigasmash</v>
      </c>
      <c r="E83" s="222" t="str">
        <f>IFERROR(__xludf.DUMMYFUNCTION("""COMPUTED_VALUE"""),"Any")</f>
        <v>Any</v>
      </c>
      <c r="F83" s="222" t="str">
        <f>IFERROR(__xludf.DUMMYFUNCTION("""COMPUTED_VALUE"""),"Any")</f>
        <v>Any</v>
      </c>
      <c r="G83" s="222" t="str">
        <f>IFERROR(__xludf.DUMMYFUNCTION("""COMPUTED_VALUE"""),"Any")</f>
        <v>Any</v>
      </c>
    </row>
    <row r="84">
      <c r="A84" s="222" t="str">
        <f>IFERROR(__xludf.DUMMYFUNCTION("""COMPUTED_VALUE"""),"Kazapstrophe")</f>
        <v>Kazapstrophe</v>
      </c>
      <c r="B84" s="222" t="str">
        <f>IFERROR(__xludf.DUMMYFUNCTION("""COMPUTED_VALUE"""),"strike all enemies with lightning")</f>
        <v>strike all enemies with lightning</v>
      </c>
      <c r="C84" s="222" t="str">
        <f>IFERROR(__xludf.DUMMYFUNCTION("""COMPUTED_VALUE"""),"All")</f>
        <v>All</v>
      </c>
      <c r="D84" s="222" t="str">
        <f>IFERROR(__xludf.DUMMYFUNCTION("""COMPUTED_VALUE"""),"Hero: Kazap")</f>
        <v>Hero: Kazap</v>
      </c>
      <c r="E84" s="222" t="str">
        <f>IFERROR(__xludf.DUMMYFUNCTION("""COMPUTED_VALUE"""),"Any")</f>
        <v>Any</v>
      </c>
      <c r="F84" s="222" t="str">
        <f>IFERROR(__xludf.DUMMYFUNCTION("""COMPUTED_VALUE"""),"Any")</f>
        <v>Any</v>
      </c>
      <c r="G84" s="222" t="str">
        <f>IFERROR(__xludf.DUMMYFUNCTION("""COMPUTED_VALUE"""),"Any")</f>
        <v>Any</v>
      </c>
    </row>
    <row r="85">
      <c r="A85" s="222" t="str">
        <f>IFERROR(__xludf.DUMMYFUNCTION("""COMPUTED_VALUE"""),"Yggdragon's Blessing")</f>
        <v>Yggdragon's Blessing</v>
      </c>
      <c r="B85" s="222" t="str">
        <f>IFERROR(__xludf.DUMMYFUNCTION("""COMPUTED_VALUE"""),"make the party almost invincible for a few turns")</f>
        <v>make the party almost invincible for a few turns</v>
      </c>
      <c r="C85" s="222" t="str">
        <f>IFERROR(__xludf.DUMMYFUNCTION("""COMPUTED_VALUE"""),"All")</f>
        <v>All</v>
      </c>
      <c r="D85" s="222" t="str">
        <f>IFERROR(__xludf.DUMMYFUNCTION("""COMPUTED_VALUE"""),"Hero: Omniheal")</f>
        <v>Hero: Omniheal</v>
      </c>
      <c r="E85" s="222" t="str">
        <f>IFERROR(__xludf.DUMMYFUNCTION("""COMPUTED_VALUE"""),"Any")</f>
        <v>Any</v>
      </c>
      <c r="F85" s="222" t="str">
        <f>IFERROR(__xludf.DUMMYFUNCTION("""COMPUTED_VALUE"""),"Any")</f>
        <v>Any</v>
      </c>
      <c r="G85" s="222" t="str">
        <f>IFERROR(__xludf.DUMMYFUNCTION("""COMPUTED_VALUE"""),"Any")</f>
        <v>Any</v>
      </c>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77.63"/>
  </cols>
  <sheetData>
    <row r="1">
      <c r="A1" s="183" t="str">
        <f>IFERROR(__xludf.DUMMYFUNCTION("IMPORTRANGE(""1pGQGO9M_OLNstXbY45t1_zMDCLpiw8pwB7y8fM3IKkA"",""Trophy Lists!A1:B175"")"),"Trophy lists for the following:")</f>
        <v>Trophy lists for the following:</v>
      </c>
      <c r="B1" s="183" t="str">
        <f>IFERROR(__xludf.DUMMYFUNCTION("""COMPUTED_VALUE"""),"Mounts, Costumes, Swordssmith, Island-Hopper, Cows, Puff-Puff, Casino, Marriage, Worrywart")</f>
        <v>Mounts, Costumes, Swordssmith, Island-Hopper, Cows, Puff-Puff, Casino, Marriage, Worrywart</v>
      </c>
    </row>
    <row r="2">
      <c r="A2" s="223"/>
      <c r="B2" s="223"/>
    </row>
    <row r="3">
      <c r="A3" s="116" t="str">
        <f>IFERROR(__xludf.DUMMYFUNCTION("""COMPUTED_VALUE"""),"Mount Olympian")</f>
        <v>Mount Olympian</v>
      </c>
      <c r="B3" s="25"/>
    </row>
    <row r="4">
      <c r="A4" s="224" t="str">
        <f>IFERROR(__xludf.DUMMYFUNCTION("""COMPUTED_VALUE"""),"Successfully ride each category of mounts, most will be mandatory for the story at some point")</f>
        <v>Successfully ride each category of mounts, most will be mandatory for the story at some point</v>
      </c>
      <c r="B4" s="8"/>
    </row>
    <row r="5">
      <c r="A5" s="211" t="str">
        <f>IFERROR(__xludf.DUMMYFUNCTION("""COMPUTED_VALUE"""),"Type")</f>
        <v>Type</v>
      </c>
      <c r="B5" s="211" t="str">
        <f>IFERROR(__xludf.DUMMYFUNCTION("""COMPUTED_VALUE"""),"Example location")</f>
        <v>Example location</v>
      </c>
    </row>
    <row r="6">
      <c r="A6" s="114" t="str">
        <f>IFERROR(__xludf.DUMMYFUNCTION("""COMPUTED_VALUE"""),"Horse")</f>
        <v>Horse</v>
      </c>
      <c r="B6" s="114" t="str">
        <f>IFERROR(__xludf.DUMMYFUNCTION("""COMPUTED_VALUE"""),"Given when leaving the village")</f>
        <v>Given when leaving the village</v>
      </c>
    </row>
    <row r="7">
      <c r="A7" s="115" t="str">
        <f>IFERROR(__xludf.DUMMYFUNCTION("""COMPUTED_VALUE"""),"Eggsoskeleton")</f>
        <v>Eggsoskeleton</v>
      </c>
      <c r="B7" s="115" t="str">
        <f>IFERROR(__xludf.DUMMYFUNCTION("""COMPUTED_VALUE"""),"Kingsbarrow")</f>
        <v>Kingsbarrow</v>
      </c>
    </row>
    <row r="8">
      <c r="A8" s="114" t="str">
        <f>IFERROR(__xludf.DUMMYFUNCTION("""COMPUTED_VALUE"""),"Skull rider")</f>
        <v>Skull rider</v>
      </c>
      <c r="B8" s="114" t="str">
        <f>IFERROR(__xludf.DUMMYFUNCTION("""COMPUTED_VALUE"""),"Cryptic Crypt, Eerie Eyrie")</f>
        <v>Cryptic Crypt, Eerie Eyrie</v>
      </c>
    </row>
    <row r="9">
      <c r="A9" s="115" t="str">
        <f>IFERROR(__xludf.DUMMYFUNCTION("""COMPUTED_VALUE"""),"Bee")</f>
        <v>Bee</v>
      </c>
      <c r="B9" s="115" t="str">
        <f>IFERROR(__xludf.DUMMYFUNCTION("""COMPUTED_VALUE"""),"Dundrasil Region, Champs Sauvage")</f>
        <v>Dundrasil Region, Champs Sauvage</v>
      </c>
    </row>
    <row r="10">
      <c r="A10" s="114" t="str">
        <f>IFERROR(__xludf.DUMMYFUNCTION("""COMPUTED_VALUE"""),"Dragon")</f>
        <v>Dragon</v>
      </c>
      <c r="B10" s="114" t="str">
        <f>IFERROR(__xludf.DUMMYFUNCTION("""COMPUTED_VALUE"""),"Mount Pang Lai, Final Dungeon")</f>
        <v>Mount Pang Lai, Final Dungeon</v>
      </c>
    </row>
    <row r="11">
      <c r="A11" s="115" t="str">
        <f>IFERROR(__xludf.DUMMYFUNCTION("""COMPUTED_VALUE"""),"Face Invader")</f>
        <v>Face Invader</v>
      </c>
      <c r="B11" s="115" t="str">
        <f>IFERROR(__xludf.DUMMYFUNCTION("""COMPUTED_VALUE"""),"Snaerfelt")</f>
        <v>Snaerfelt</v>
      </c>
    </row>
    <row r="12">
      <c r="A12" s="114" t="str">
        <f>IFERROR(__xludf.DUMMYFUNCTION("""COMPUTED_VALUE"""),"Demon Horse")</f>
        <v>Demon Horse</v>
      </c>
      <c r="B12" s="114" t="str">
        <f>IFERROR(__xludf.DUMMYFUNCTION("""COMPUTED_VALUE"""),"Snaerfelt")</f>
        <v>Snaerfelt</v>
      </c>
    </row>
    <row r="13">
      <c r="A13" s="225"/>
      <c r="B13" s="225"/>
    </row>
    <row r="14">
      <c r="A14" s="116" t="str">
        <f>IFERROR(__xludf.DUMMYFUNCTION("""COMPUTED_VALUE"""),"Dedicated Follower of Fashion")</f>
        <v>Dedicated Follower of Fashion</v>
      </c>
      <c r="B14" s="8"/>
    </row>
    <row r="15">
      <c r="A15" s="195" t="str">
        <f>IFERROR(__xludf.DUMMYFUNCTION("""COMPUTED_VALUE"""),"Collect all appearance-altering equipment")</f>
        <v>Collect all appearance-altering equipment</v>
      </c>
      <c r="B15" s="25"/>
    </row>
    <row r="16">
      <c r="A16" s="226" t="str">
        <f>IFERROR(__xludf.DUMMYFUNCTION("""COMPUTED_VALUE"""),"Hero")</f>
        <v>Hero</v>
      </c>
      <c r="B16" s="8"/>
    </row>
    <row r="17">
      <c r="A17" s="115" t="str">
        <f>IFERROR(__xludf.DUMMYFUNCTION("""COMPUTED_VALUE"""),"Traveller's Hood")</f>
        <v>Traveller's Hood</v>
      </c>
      <c r="B17" s="41" t="str">
        <f>IFERROR(__xludf.DUMMYFUNCTION("""COMPUTED_VALUE"""),"Cabinet: Gallopolis Church")</f>
        <v>Cabinet: Gallopolis Church</v>
      </c>
    </row>
    <row r="18">
      <c r="A18" s="114" t="str">
        <f>IFERROR(__xludf.DUMMYFUNCTION("""COMPUTED_VALUE"""),"Gallopitan Garb")</f>
        <v>Gallopitan Garb</v>
      </c>
      <c r="B18" s="42" t="str">
        <f>IFERROR(__xludf.DUMMYFUNCTION("""COMPUTED_VALUE"""),"Horse Racing Silver Cup (Easy)")</f>
        <v>Horse Racing Silver Cup (Easy)</v>
      </c>
    </row>
    <row r="19">
      <c r="A19" s="115" t="str">
        <f>IFERROR(__xludf.DUMMYFUNCTION("""COMPUTED_VALUE"""),"Drasilian Helm")</f>
        <v>Drasilian Helm</v>
      </c>
      <c r="B19" s="227" t="str">
        <f>IFERROR(__xludf.DUMMYFUNCTION("""COMPUTED_VALUE"""),"Recipe: Dress Like a Drasilian (Chest: Ruins of Dundrasil)")</f>
        <v>Recipe: Dress Like a Drasilian (Chest: Ruins of Dundrasil)</v>
      </c>
    </row>
    <row r="20">
      <c r="A20" s="114" t="str">
        <f>IFERROR(__xludf.DUMMYFUNCTION("""COMPUTED_VALUE"""),"Drasilian Armour")</f>
        <v>Drasilian Armour</v>
      </c>
      <c r="B20" s="98"/>
    </row>
    <row r="21">
      <c r="A21" s="115" t="str">
        <f>IFERROR(__xludf.DUMMYFUNCTION("""COMPUTED_VALUE"""),"Mardi Garb")</f>
        <v>Mardi Garb</v>
      </c>
      <c r="B21" s="41" t="str">
        <f>IFERROR(__xludf.DUMMYFUNCTION("""COMPUTED_VALUE"""),"Story progression")</f>
        <v>Story progression</v>
      </c>
    </row>
    <row r="22">
      <c r="A22" s="114" t="str">
        <f>IFERROR(__xludf.DUMMYFUNCTION("""COMPUTED_VALUE"""),"Cobblestone Clobber")</f>
        <v>Cobblestone Clobber</v>
      </c>
      <c r="B22" s="42" t="str">
        <f>IFERROR(__xludf.DUMMYFUNCTION("""COMPUTED_VALUE"""),"Cabinet: Your house in Cobblestone, after postgame events")</f>
        <v>Cabinet: Your house in Cobblestone, after postgame events</v>
      </c>
    </row>
    <row r="23">
      <c r="A23" s="115" t="str">
        <f>IFERROR(__xludf.DUMMYFUNCTION("""COMPUTED_VALUE"""),"Irwin's Helm")</f>
        <v>Irwin's Helm</v>
      </c>
      <c r="B23" s="227" t="str">
        <f>IFERROR(__xludf.DUMMYFUNCTION("""COMPUTED_VALUE"""),"Postgame events in Ruins of Dundrasil")</f>
        <v>Postgame events in Ruins of Dundrasil</v>
      </c>
    </row>
    <row r="24">
      <c r="A24" s="115" t="str">
        <f>IFERROR(__xludf.DUMMYFUNCTION("""COMPUTED_VALUE"""),"Irwin's Armour")</f>
        <v>Irwin's Armour</v>
      </c>
      <c r="B24" s="98"/>
    </row>
    <row r="25">
      <c r="A25" s="228" t="str">
        <f>IFERROR(__xludf.DUMMYFUNCTION("""COMPUTED_VALUE"""),"Erdwin's Coronet")</f>
        <v>Erdwin's Coronet</v>
      </c>
      <c r="B25" s="229" t="str">
        <f>IFERROR(__xludf.DUMMYFUNCTION("""COMPUTED_VALUE"""),"Chest: Luminary's Trial - 3F")</f>
        <v>Chest: Luminary's Trial - 3F</v>
      </c>
    </row>
    <row r="26">
      <c r="A26" s="228" t="str">
        <f>IFERROR(__xludf.DUMMYFUNCTION("""COMPUTED_VALUE"""),"Erdwin's Tunic")</f>
        <v>Erdwin's Tunic</v>
      </c>
      <c r="B26" s="230" t="str">
        <f>IFERROR(__xludf.DUMMYFUNCTION("""COMPUTED_VALUE"""),"Chest: Luminary's Trial - 1F Sealed Room")</f>
        <v>Chest: Luminary's Trial - 1F Sealed Room</v>
      </c>
    </row>
    <row r="27">
      <c r="A27" s="115" t="str">
        <f>IFERROR(__xludf.DUMMYFUNCTION("""COMPUTED_VALUE"""),"Artisanal Trodain Bandana")</f>
        <v>Artisanal Trodain Bandana</v>
      </c>
      <c r="B27" s="227" t="str">
        <f>IFERROR(__xludf.DUMMYFUNCTION("""COMPUTED_VALUE"""),"Recipe: Trodain's Top Trends (Start with this recipe)")</f>
        <v>Recipe: Trodain's Top Trends (Start with this recipe)</v>
      </c>
    </row>
    <row r="28">
      <c r="A28" s="115" t="str">
        <f>IFERROR(__xludf.DUMMYFUNCTION("""COMPUTED_VALUE"""),"Artisanal Trodain Togs")</f>
        <v>Artisanal Trodain Togs</v>
      </c>
      <c r="B28" s="98"/>
    </row>
    <row r="29">
      <c r="A29" s="116" t="str">
        <f>IFERROR(__xludf.DUMMYFUNCTION("""COMPUTED_VALUE"""),"Erik")</f>
        <v>Erik</v>
      </c>
      <c r="B29" s="25"/>
    </row>
    <row r="30">
      <c r="A30" s="228" t="str">
        <f>IFERROR(__xludf.DUMMYFUNCTION("""COMPUTED_VALUE"""),"Swindler's Scarf")</f>
        <v>Swindler's Scarf</v>
      </c>
      <c r="B30" s="229" t="str">
        <f>IFERROR(__xludf.DUMMYFUNCTION("""COMPUTED_VALUE"""),"Recipe: Sweet Stuff for Swindlers (Quest: Shiver Me Timbers)")</f>
        <v>Recipe: Sweet Stuff for Swindlers (Quest: Shiver Me Timbers)</v>
      </c>
    </row>
    <row r="31">
      <c r="A31" s="228" t="str">
        <f>IFERROR(__xludf.DUMMYFUNCTION("""COMPUTED_VALUE"""),"Swindler's Stole")</f>
        <v>Swindler's Stole</v>
      </c>
      <c r="B31" s="105"/>
    </row>
    <row r="32">
      <c r="A32" s="231" t="str">
        <f>IFERROR(__xludf.DUMMYFUNCTION("""COMPUTED_VALUE"""),"Corsair's Cap")</f>
        <v>Corsair's Cap</v>
      </c>
      <c r="B32" s="41" t="str">
        <f>IFERROR(__xludf.DUMMYFUNCTION("""COMPUTED_VALUE"""),"Drop: Gyldenbritches (Story)")</f>
        <v>Drop: Gyldenbritches (Story)</v>
      </c>
    </row>
    <row r="33">
      <c r="A33" s="231" t="str">
        <f>IFERROR(__xludf.DUMMYFUNCTION("""COMPUTED_VALUE"""),"Corsair Coat")</f>
        <v>Corsair Coat</v>
      </c>
      <c r="B33" s="41" t="str">
        <f>IFERROR(__xludf.DUMMYFUNCTION("""COMPUTED_VALUE"""),"Purchase: Nautica Armor Shop")</f>
        <v>Purchase: Nautica Armor Shop</v>
      </c>
    </row>
    <row r="34">
      <c r="A34" s="228" t="str">
        <f>IFERROR(__xludf.DUMMYFUNCTION("""COMPUTED_VALUE"""),"Swindler King's Scarf")</f>
        <v>Swindler King's Scarf</v>
      </c>
      <c r="B34" s="229" t="str">
        <f>IFERROR(__xludf.DUMMYFUNCTION("""COMPUTED_VALUE"""),"Recipe: King of the Swindlers (Ultimate Key: Heliodor Prison)")</f>
        <v>Recipe: King of the Swindlers (Ultimate Key: Heliodor Prison)</v>
      </c>
    </row>
    <row r="35">
      <c r="A35" s="228" t="str">
        <f>IFERROR(__xludf.DUMMYFUNCTION("""COMPUTED_VALUE"""),"Swindler King's Stole")</f>
        <v>Swindler King's Stole</v>
      </c>
      <c r="B35" s="105"/>
    </row>
    <row r="36">
      <c r="A36" s="231" t="str">
        <f>IFERROR(__xludf.DUMMYFUNCTION("""COMPUTED_VALUE"""),"Pirate King's Cap")</f>
        <v>Pirate King's Cap</v>
      </c>
      <c r="B36" s="41" t="str">
        <f>IFERROR(__xludf.DUMMYFUNCTION("""COMPUTED_VALUE"""),"Postgame events in Lonalulu")</f>
        <v>Postgame events in Lonalulu</v>
      </c>
    </row>
    <row r="37">
      <c r="A37" s="231" t="str">
        <f>IFERROR(__xludf.DUMMYFUNCTION("""COMPUTED_VALUE"""),"Pirate King's Coat")</f>
        <v>Pirate King's Coat</v>
      </c>
      <c r="B37" s="41" t="str">
        <f>IFERROR(__xludf.DUMMYFUNCTION("""COMPUTED_VALUE"""),"Purchase: Cobblestone, after postgame events")</f>
        <v>Purchase: Cobblestone, after postgame events</v>
      </c>
    </row>
    <row r="38">
      <c r="A38" s="116" t="str">
        <f>IFERROR(__xludf.DUMMYFUNCTION("""COMPUTED_VALUE"""),"Veronica")</f>
        <v>Veronica</v>
      </c>
      <c r="B38" s="8"/>
    </row>
    <row r="39">
      <c r="A39" s="231" t="str">
        <f>IFERROR(__xludf.DUMMYFUNCTION("""COMPUTED_VALUE"""),"Cat Hat")</f>
        <v>Cat Hat</v>
      </c>
      <c r="B39" s="41" t="str">
        <f>IFERROR(__xludf.DUMMYFUNCTION("""COMPUTED_VALUE"""),"Purchase: Gondolia")</f>
        <v>Purchase: Gondolia</v>
      </c>
    </row>
    <row r="40">
      <c r="A40" s="228" t="str">
        <f>IFERROR(__xludf.DUMMYFUNCTION("""COMPUTED_VALUE"""),"Cat Suit")</f>
        <v>Cat Suit</v>
      </c>
      <c r="B40" s="42" t="str">
        <f>IFERROR(__xludf.DUMMYFUNCTION("""COMPUTED_VALUE"""),"Competitive Brother Shop Stalls in Gondolia or Purchase: Gondolia from part 2 on")</f>
        <v>Competitive Brother Shop Stalls in Gondolia or Purchase: Gondolia from part 2 on</v>
      </c>
    </row>
    <row r="41">
      <c r="A41" s="231" t="str">
        <f>IFERROR(__xludf.DUMMYFUNCTION("""COMPUTED_VALUE"""),"Cute Cap")</f>
        <v>Cute Cap</v>
      </c>
      <c r="B41" s="227" t="str">
        <f>IFERROR(__xludf.DUMMYFUNCTION("""COMPUTED_VALUE"""),"Recipe: All Things Nice (Townsperson in Puerto Valor)")</f>
        <v>Recipe: All Things Nice (Townsperson in Puerto Valor)</v>
      </c>
    </row>
    <row r="42">
      <c r="A42" s="231" t="str">
        <f>IFERROR(__xludf.DUMMYFUNCTION("""COMPUTED_VALUE"""),"Pretty Pinny")</f>
        <v>Pretty Pinny</v>
      </c>
      <c r="B42" s="98"/>
    </row>
    <row r="43">
      <c r="A43" s="228" t="str">
        <f>IFERROR(__xludf.DUMMYFUNCTION("""COMPUTED_VALUE"""),"Uniform de l'Academie")</f>
        <v>Uniform de l'Academie</v>
      </c>
      <c r="B43" s="42" t="str">
        <f>IFERROR(__xludf.DUMMYFUNCTION("""COMPUTED_VALUE"""),"Mini Medal Stamp: 25, Magic Key: L'Academie, Quest: The Agony and the Ecstasy")</f>
        <v>Mini Medal Stamp: 25, Magic Key: L'Academie, Quest: The Agony and the Ecstasy</v>
      </c>
    </row>
    <row r="44">
      <c r="A44" s="231" t="str">
        <f>IFERROR(__xludf.DUMMYFUNCTION("""COMPUTED_VALUE"""),"Stellar Starflower")</f>
        <v>Stellar Starflower</v>
      </c>
      <c r="B44" s="227" t="str">
        <f>IFERROR(__xludf.DUMMYFUNCTION("""COMPUTED_VALUE"""),"Speak to the girls Arena Team in the Octagonia Casino, after postgame events in Octagonia")</f>
        <v>Speak to the girls Arena Team in the Octagonia Casino, after postgame events in Octagonia</v>
      </c>
    </row>
    <row r="45">
      <c r="A45" s="231" t="str">
        <f>IFERROR(__xludf.DUMMYFUNCTION("""COMPUTED_VALUE"""),"Stellar Suit")</f>
        <v>Stellar Suit</v>
      </c>
      <c r="B45" s="105"/>
    </row>
    <row r="46">
      <c r="A46" s="228" t="str">
        <f>IFERROR(__xludf.DUMMYFUNCTION("""COMPUTED_VALUE"""),"Crown of Eternity")</f>
        <v>Crown of Eternity</v>
      </c>
      <c r="B46" s="229" t="str">
        <f>IFERROR(__xludf.DUMMYFUNCTION("""COMPUTED_VALUE"""),"Recipe: Eternal Elegance (Chest: Sage's Trial - Hoarder's Keep)")</f>
        <v>Recipe: Eternal Elegance (Chest: Sage's Trial - Hoarder's Keep)</v>
      </c>
    </row>
    <row r="47">
      <c r="A47" s="228" t="str">
        <f>IFERROR(__xludf.DUMMYFUNCTION("""COMPUTED_VALUE"""),"Gown of Eternity")</f>
        <v>Gown of Eternity</v>
      </c>
      <c r="B47" s="105"/>
    </row>
    <row r="48">
      <c r="A48" s="116" t="str">
        <f>IFERROR(__xludf.DUMMYFUNCTION("""COMPUTED_VALUE"""),"Serena")</f>
        <v>Serena</v>
      </c>
      <c r="B48" s="8"/>
    </row>
    <row r="49">
      <c r="A49" s="231" t="str">
        <f>IFERROR(__xludf.DUMMYFUNCTION("""COMPUTED_VALUE"""),"Dancer's Costume")</f>
        <v>Dancer's Costume</v>
      </c>
      <c r="B49" s="41" t="str">
        <f>IFERROR(__xludf.DUMMYFUNCTION("""COMPUTED_VALUE"""),"Purchase: Gallopolis")</f>
        <v>Purchase: Gallopolis</v>
      </c>
    </row>
    <row r="50">
      <c r="A50" s="228" t="str">
        <f>IFERROR(__xludf.DUMMYFUNCTION("""COMPUTED_VALUE"""),"Bonny Band")</f>
        <v>Bonny Band</v>
      </c>
      <c r="B50" s="229" t="str">
        <f>IFERROR(__xludf.DUMMYFUNCTION("""COMPUTED_VALUE"""),"Recipe: All Things Nice (Townsperson in Puerto Valor)")</f>
        <v>Recipe: All Things Nice (Townsperson in Puerto Valor)</v>
      </c>
    </row>
    <row r="51">
      <c r="A51" s="228" t="str">
        <f>IFERROR(__xludf.DUMMYFUNCTION("""COMPUTED_VALUE"""),"Dainty Dress")</f>
        <v>Dainty Dress</v>
      </c>
      <c r="B51" s="105"/>
    </row>
    <row r="52">
      <c r="A52" s="231" t="str">
        <f>IFERROR(__xludf.DUMMYFUNCTION("""COMPUTED_VALUE"""),"Uniform de l'Academie")</f>
        <v>Uniform de l'Academie</v>
      </c>
      <c r="B52" s="41" t="str">
        <f>IFERROR(__xludf.DUMMYFUNCTION("""COMPUTED_VALUE"""),"Mini Medal Stamp: 25, Magic Key: L'Academie, Quest: The Agony and the Ecstasy")</f>
        <v>Mini Medal Stamp: 25, Magic Key: L'Academie, Quest: The Agony and the Ecstasy</v>
      </c>
    </row>
    <row r="53">
      <c r="A53" s="228" t="str">
        <f>IFERROR(__xludf.DUMMYFUNCTION("""COMPUTED_VALUE"""),"Goddess Tiara")</f>
        <v>Goddess Tiara</v>
      </c>
      <c r="B53" s="229" t="str">
        <f>IFERROR(__xludf.DUMMYFUNCTION("""COMPUTED_VALUE"""),"Recipe: Sacred Styles for Saintly Ladies (Chest: The Battleground)")</f>
        <v>Recipe: Sacred Styles for Saintly Ladies (Chest: The Battleground)</v>
      </c>
    </row>
    <row r="54">
      <c r="A54" s="228" t="str">
        <f>IFERROR(__xludf.DUMMYFUNCTION("""COMPUTED_VALUE"""),"Saintess Dress")</f>
        <v>Saintess Dress</v>
      </c>
      <c r="B54" s="98"/>
    </row>
    <row r="55">
      <c r="A55" s="231" t="str">
        <f>IFERROR(__xludf.DUMMYFUNCTION("""COMPUTED_VALUE"""),"Sacred Circlet")</f>
        <v>Sacred Circlet</v>
      </c>
      <c r="B55" s="227" t="str">
        <f>IFERROR(__xludf.DUMMYFUNCTION("""COMPUTED_VALUE"""),"Recipe: Gifts from the Goddess (Ultimate Key: Insula Incognita)")</f>
        <v>Recipe: Gifts from the Goddess (Ultimate Key: Insula Incognita)</v>
      </c>
    </row>
    <row r="56">
      <c r="A56" s="231" t="str">
        <f>IFERROR(__xludf.DUMMYFUNCTION("""COMPUTED_VALUE"""),"Sacred Raiment")</f>
        <v>Sacred Raiment</v>
      </c>
      <c r="B56" s="98"/>
    </row>
    <row r="57">
      <c r="A57" s="228" t="str">
        <f>IFERROR(__xludf.DUMMYFUNCTION("""COMPUTED_VALUE"""),"Serenica's Circlet")</f>
        <v>Serenica's Circlet</v>
      </c>
      <c r="B57" s="229" t="str">
        <f>IFERROR(__xludf.DUMMYFUNCTION("""COMPUTED_VALUE"""),"Chest: Sage's Trial - Fierce Forest")</f>
        <v>Chest: Sage's Trial - Fierce Forest</v>
      </c>
    </row>
    <row r="58">
      <c r="A58" s="228" t="str">
        <f>IFERROR(__xludf.DUMMYFUNCTION("""COMPUTED_VALUE"""),"Serenica's Surpice")</f>
        <v>Serenica's Surpice</v>
      </c>
      <c r="B58" s="230" t="str">
        <f>IFERROR(__xludf.DUMMYFUNCTION("""COMPUTED_VALUE"""),"Chest: Luminary's Trial - 1F Sealed Room")</f>
        <v>Chest: Luminary's Trial - 1F Sealed Room</v>
      </c>
    </row>
    <row r="59">
      <c r="A59" s="231" t="str">
        <f>IFERROR(__xludf.DUMMYFUNCTION("""COMPUTED_VALUE"""),"Ring of Changes")</f>
        <v>Ring of Changes</v>
      </c>
      <c r="B59" s="41" t="str">
        <f>IFERROR(__xludf.DUMMYFUNCTION("""COMPUTED_VALUE"""),"Wish for it after clearing a trial at Trial Isle")</f>
        <v>Wish for it after clearing a trial at Trial Isle</v>
      </c>
    </row>
    <row r="60">
      <c r="A60" s="116" t="str">
        <f>IFERROR(__xludf.DUMMYFUNCTION("""COMPUTED_VALUE"""),"Sylvando")</f>
        <v>Sylvando</v>
      </c>
      <c r="B60" s="8"/>
    </row>
    <row r="61">
      <c r="A61" s="228" t="str">
        <f>IFERROR(__xludf.DUMMYFUNCTION("""COMPUTED_VALUE"""),"Dapper Doublet")</f>
        <v>Dapper Doublet</v>
      </c>
      <c r="B61" s="229" t="str">
        <f>IFERROR(__xludf.DUMMYFUNCTION("""COMPUTED_VALUE"""),"Recipe: The Dapper Chap (Quest: Skincare for the Fierce and Fabulous)")</f>
        <v>Recipe: The Dapper Chap (Quest: Skincare for the Fierce and Fabulous)</v>
      </c>
    </row>
    <row r="62">
      <c r="A62" s="228" t="str">
        <f>IFERROR(__xludf.DUMMYFUNCTION("""COMPUTED_VALUE"""),"Natty Cravat")</f>
        <v>Natty Cravat</v>
      </c>
      <c r="B62" s="98"/>
    </row>
    <row r="63">
      <c r="A63" s="231" t="str">
        <f>IFERROR(__xludf.DUMMYFUNCTION("""COMPUTED_VALUE"""),"Mardi Garb")</f>
        <v>Mardi Garb</v>
      </c>
      <c r="B63" s="41" t="str">
        <f>IFERROR(__xludf.DUMMYFUNCTION("""COMPUTED_VALUE"""),"Story progression")</f>
        <v>Story progression</v>
      </c>
    </row>
    <row r="64">
      <c r="A64" s="228" t="str">
        <f>IFERROR(__xludf.DUMMYFUNCTION("""COMPUTED_VALUE"""),"Tiara Tremenda")</f>
        <v>Tiara Tremenda</v>
      </c>
      <c r="B64" s="229" t="str">
        <f>IFERROR(__xludf.DUMMYFUNCTION("""COMPUTED_VALUE"""),"Recipe: Glam Gear for Go-Getters (Quest: Madame Labouche's Life Lesson)")</f>
        <v>Recipe: Glam Gear for Go-Getters (Quest: Madame Labouche's Life Lesson)</v>
      </c>
    </row>
    <row r="65">
      <c r="A65" s="228" t="str">
        <f>IFERROR(__xludf.DUMMYFUNCTION("""COMPUTED_VALUE"""),"Glad Rags")</f>
        <v>Glad Rags</v>
      </c>
      <c r="B65" s="105"/>
    </row>
    <row r="66">
      <c r="A66" s="231" t="str">
        <f>IFERROR(__xludf.DUMMYFUNCTION("""COMPUTED_VALUE"""),"Dashing Doublet")</f>
        <v>Dashing Doublet</v>
      </c>
      <c r="B66" s="227" t="str">
        <f>IFERROR(__xludf.DUMMYFUNCTION("""COMPUTED_VALUE"""),"Recipe: Dress to Impress (Golden Boy in Octagonia Casino after postgame event)")</f>
        <v>Recipe: Dress to Impress (Golden Boy in Octagonia Casino after postgame event)</v>
      </c>
    </row>
    <row r="67">
      <c r="A67" s="231" t="str">
        <f>IFERROR(__xludf.DUMMYFUNCTION("""COMPUTED_VALUE"""),"Suave Scarf")</f>
        <v>Suave Scarf</v>
      </c>
      <c r="B67" s="105"/>
    </row>
    <row r="68">
      <c r="A68" s="228" t="str">
        <f>IFERROR(__xludf.DUMMYFUNCTION("""COMPUTED_VALUE"""),"Tiara Tremendisima")</f>
        <v>Tiara Tremendisima</v>
      </c>
      <c r="B68" s="229" t="str">
        <f>IFERROR(__xludf.DUMMYFUNCTION("""COMPUTED_VALUE"""),"Recipe: Glammer Gear for Goer-Getters (Mini Medal Stamp: 90)")</f>
        <v>Recipe: Glammer Gear for Goer-Getters (Mini Medal Stamp: 90)</v>
      </c>
    </row>
    <row r="69">
      <c r="A69" s="228" t="str">
        <f>IFERROR(__xludf.DUMMYFUNCTION("""COMPUTED_VALUE"""),"Gladder Rags")</f>
        <v>Gladder Rags</v>
      </c>
      <c r="B69" s="105"/>
    </row>
    <row r="70">
      <c r="A70" s="116" t="str">
        <f>IFERROR(__xludf.DUMMYFUNCTION("""COMPUTED_VALUE"""),"Rab")</f>
        <v>Rab</v>
      </c>
      <c r="B70" s="8"/>
    </row>
    <row r="71">
      <c r="A71" s="231" t="str">
        <f>IFERROR(__xludf.DUMMYFUNCTION("""COMPUTED_VALUE"""),"Crown of Dundrasil")</f>
        <v>Crown of Dundrasil</v>
      </c>
      <c r="B71" s="227" t="str">
        <f>IFERROR(__xludf.DUMMYFUNCTION("""COMPUTED_VALUE"""),"Recipe: Kit Fit for a King (Mini Medal Stamp: 30)")</f>
        <v>Recipe: Kit Fit for a King (Mini Medal Stamp: 30)</v>
      </c>
    </row>
    <row r="72">
      <c r="A72" s="231" t="str">
        <f>IFERROR(__xludf.DUMMYFUNCTION("""COMPUTED_VALUE"""),"Drasilian Dress Coat")</f>
        <v>Drasilian Dress Coat</v>
      </c>
      <c r="B72" s="98"/>
    </row>
    <row r="73">
      <c r="A73" s="228" t="str">
        <f>IFERROR(__xludf.DUMMYFUNCTION("""COMPUTED_VALUE"""),"Sun Crown")</f>
        <v>Sun Crown</v>
      </c>
      <c r="B73" s="229" t="str">
        <f>IFERROR(__xludf.DUMMYFUNCTION("""COMPUTED_VALUE"""),"Recipe: Corking Kit for Kings (Wheel of Harma: Third Trial)")</f>
        <v>Recipe: Corking Kit for Kings (Wheel of Harma: Third Trial)</v>
      </c>
    </row>
    <row r="74">
      <c r="A74" s="228" t="str">
        <f>IFERROR(__xludf.DUMMYFUNCTION("""COMPUTED_VALUE"""),"Pallium Regale")</f>
        <v>Pallium Regale</v>
      </c>
      <c r="B74" s="98"/>
    </row>
    <row r="75">
      <c r="A75" s="231" t="str">
        <f>IFERROR(__xludf.DUMMYFUNCTION("""COMPUTED_VALUE"""),"Yggdrasil Crown")</f>
        <v>Yggdrasil Crown</v>
      </c>
      <c r="B75" s="227" t="str">
        <f>IFERROR(__xludf.DUMMYFUNCTION("""COMPUTED_VALUE"""),"Recipe: What a Wonderful World Tree (Chest: Trial Isle: The Sage's Trial - Fierce Forest)")</f>
        <v>Recipe: What a Wonderful World Tree (Chest: Trial Isle: The Sage's Trial - Fierce Forest)</v>
      </c>
    </row>
    <row r="76">
      <c r="A76" s="231" t="str">
        <f>IFERROR(__xludf.DUMMYFUNCTION("""COMPUTED_VALUE"""),"Yggdrasil Dress Coat")</f>
        <v>Yggdrasil Dress Coat</v>
      </c>
      <c r="B76" s="98"/>
    </row>
    <row r="77">
      <c r="A77" s="228" t="str">
        <f>IFERROR(__xludf.DUMMYFUNCTION("""COMPUTED_VALUE"""),"Apollo's Crown")</f>
        <v>Apollo's Crown</v>
      </c>
      <c r="B77" s="229" t="str">
        <f>IFERROR(__xludf.DUMMYFUNCTION("""COMPUTED_VALUE"""),"Recipe: A Guide to Godly Get-Up (Wheel of Harma: Final Trial - 40 Moves)")</f>
        <v>Recipe: A Guide to Godly Get-Up (Wheel of Harma: Final Trial - 40 Moves)</v>
      </c>
    </row>
    <row r="78">
      <c r="A78" s="228" t="str">
        <f>IFERROR(__xludf.DUMMYFUNCTION("""COMPUTED_VALUE"""),"Potentate Pallium")</f>
        <v>Potentate Pallium</v>
      </c>
      <c r="B78" s="98"/>
    </row>
    <row r="79">
      <c r="A79" s="116" t="str">
        <f>IFERROR(__xludf.DUMMYFUNCTION("""COMPUTED_VALUE"""),"Jade")</f>
        <v>Jade</v>
      </c>
      <c r="B79" s="25"/>
    </row>
    <row r="80">
      <c r="A80" s="231" t="str">
        <f>IFERROR(__xludf.DUMMYFUNCTION("""COMPUTED_VALUE"""),"Bunny Ears")</f>
        <v>Bunny Ears</v>
      </c>
      <c r="B80" s="227" t="str">
        <f>IFERROR(__xludf.DUMMYFUNCTION("""COMPUTED_VALUE"""),"Recipe: Down The Rabbithole (Puerto Valor Casino: 500 Tokens)")</f>
        <v>Recipe: Down The Rabbithole (Puerto Valor Casino: 500 Tokens)</v>
      </c>
    </row>
    <row r="81">
      <c r="A81" s="231" t="str">
        <f>IFERROR(__xludf.DUMMYFUNCTION("""COMPUTED_VALUE"""),"Bunny Suit")</f>
        <v>Bunny Suit</v>
      </c>
      <c r="B81" s="95"/>
    </row>
    <row r="82">
      <c r="A82" s="231" t="str">
        <f>IFERROR(__xludf.DUMMYFUNCTION("""COMPUTED_VALUE"""),"Fishnet Stockings")</f>
        <v>Fishnet Stockings</v>
      </c>
      <c r="B82" s="98"/>
    </row>
    <row r="83">
      <c r="A83" s="228" t="str">
        <f>IFERROR(__xludf.DUMMYFUNCTION("""COMPUTED_VALUE"""),"Uniform de l'Academie")</f>
        <v>Uniform de l'Academie</v>
      </c>
      <c r="B83" s="42" t="str">
        <f>IFERROR(__xludf.DUMMYFUNCTION("""COMPUTED_VALUE"""),"Mini Medal Stamp: 25, Magic Key: L'Academie, Quest: The Agony and the Ecstasy")</f>
        <v>Mini Medal Stamp: 25, Magic Key: L'Academie, Quest: The Agony and the Ecstasy</v>
      </c>
    </row>
    <row r="84">
      <c r="A84" s="231" t="str">
        <f>IFERROR(__xludf.DUMMYFUNCTION("""COMPUTED_VALUE"""),"Scandalous Swimsuit")</f>
        <v>Scandalous Swimsuit</v>
      </c>
      <c r="B84" s="41" t="str">
        <f>IFERROR(__xludf.DUMMYFUNCTION("""COMPUTED_VALUE"""),"Octagonia Casino: 70,000 Tokens, Drop: Merking")</f>
        <v>Octagonia Casino: 70,000 Tokens, Drop: Merking</v>
      </c>
    </row>
    <row r="85">
      <c r="A85" s="114" t="str">
        <f>IFERROR(__xludf.DUMMYFUNCTION("""COMPUTED_VALUE"""),"Warrior Princess's Headdress")</f>
        <v>Warrior Princess's Headdress</v>
      </c>
      <c r="B85" s="229" t="str">
        <f>IFERROR(__xludf.DUMMYFUNCTION("""COMPUTED_VALUE"""),"Recipe: Pride of the Valkyries (Chest: Final Dungeon)")</f>
        <v>Recipe: Pride of the Valkyries (Chest: Final Dungeon)</v>
      </c>
    </row>
    <row r="86">
      <c r="A86" s="228" t="str">
        <f>IFERROR(__xludf.DUMMYFUNCTION("""COMPUTED_VALUE"""),"Warrior Princess's Dress")</f>
        <v>Warrior Princess's Dress</v>
      </c>
      <c r="B86" s="98"/>
    </row>
    <row r="87">
      <c r="A87" s="231" t="str">
        <f>IFERROR(__xludf.DUMMYFUNCTION("""COMPUTED_VALUE"""),"Divine Bustier")</f>
        <v>Divine Bustier</v>
      </c>
      <c r="B87" s="41" t="str">
        <f>IFERROR(__xludf.DUMMYFUNCTION("""COMPUTED_VALUE"""),"Competitive Brother Shop Stalls in Gondolia during postgame")</f>
        <v>Competitive Brother Shop Stalls in Gondolia during postgame</v>
      </c>
    </row>
    <row r="88">
      <c r="A88" s="228" t="str">
        <f>IFERROR(__xludf.DUMMYFUNCTION("""COMPUTED_VALUE"""),"Minerva's Tiara")</f>
        <v>Minerva's Tiara</v>
      </c>
      <c r="B88" s="229" t="str">
        <f>IFERROR(__xludf.DUMMYFUNCTION("""COMPUTED_VALUE"""),"Recipe: The Way of the War Goddess (Ultimate Key: The Battleground)")</f>
        <v>Recipe: The Way of the War Goddess (Ultimate Key: The Battleground)</v>
      </c>
    </row>
    <row r="89">
      <c r="A89" s="228" t="str">
        <f>IFERROR(__xludf.DUMMYFUNCTION("""COMPUTED_VALUE"""),"Minerva's Raiment")</f>
        <v>Minerva's Raiment</v>
      </c>
      <c r="B89" s="105"/>
    </row>
    <row r="90">
      <c r="A90" s="231" t="str">
        <f>IFERROR(__xludf.DUMMYFUNCTION("""COMPUTED_VALUE"""),"Hot Bikini")</f>
        <v>Hot Bikini</v>
      </c>
      <c r="B90" s="41" t="str">
        <f>IFERROR(__xludf.DUMMYFUNCTION("""COMPUTED_VALUE"""),"Octagonia Casino: 150,000 Tokens, postgame")</f>
        <v>Octagonia Casino: 150,000 Tokens, postgame</v>
      </c>
    </row>
    <row r="91">
      <c r="A91" s="228" t="str">
        <f>IFERROR(__xludf.DUMMYFUNCTION("""COMPUTED_VALUE"""),"Xenlon Hair Ring")</f>
        <v>Xenlon Hair Ring</v>
      </c>
      <c r="B91" s="229" t="str">
        <f>IFERROR(__xludf.DUMMYFUNCTION("""COMPUTED_VALUE"""),"Recipe: Shine On, Xenlon (Wheel of Harma: Fourth Trial - 20 Moves)")</f>
        <v>Recipe: Shine On, Xenlon (Wheel of Harma: Fourth Trial - 20 Moves)</v>
      </c>
    </row>
    <row r="92">
      <c r="A92" s="228" t="str">
        <f>IFERROR(__xludf.DUMMYFUNCTION("""COMPUTED_VALUE"""),"Xenlon Dress")</f>
        <v>Xenlon Dress</v>
      </c>
      <c r="B92" s="98"/>
    </row>
    <row r="93">
      <c r="A93" s="116" t="str">
        <f>IFERROR(__xludf.DUMMYFUNCTION("""COMPUTED_VALUE"""),"Eight")</f>
        <v>Eight</v>
      </c>
      <c r="B93" s="25"/>
    </row>
    <row r="94">
      <c r="A94" s="115" t="str">
        <f>IFERROR(__xludf.DUMMYFUNCTION("""COMPUTED_VALUE"""),"Ate's Armor")</f>
        <v>Ate's Armor</v>
      </c>
      <c r="B94" s="41" t="str">
        <f>IFERROR(__xludf.DUMMYFUNCTION("""COMPUTED_VALUE"""),"Competitive Brothers Shop Stalls in Gondolia during part 2 or comes equipped with it in postgame")</f>
        <v>Competitive Brothers Shop Stalls in Gondolia during part 2 or comes equipped with it in postgame</v>
      </c>
    </row>
    <row r="95">
      <c r="A95" s="228" t="str">
        <f>IFERROR(__xludf.DUMMYFUNCTION("""COMPUTED_VALUE"""),"General's Jacket")</f>
        <v>General's Jacket</v>
      </c>
      <c r="B95" s="229" t="str">
        <f>IFERROR(__xludf.DUMMYFUNCTION("""COMPUTED_VALUE"""),"Recipe: General Directives (Chest: Final Dungeon)")</f>
        <v>Recipe: General Directives (Chest: Final Dungeon)</v>
      </c>
    </row>
    <row r="96">
      <c r="A96" s="228" t="str">
        <f>IFERROR(__xludf.DUMMYFUNCTION("""COMPUTED_VALUE"""),"General's Jackboots")</f>
        <v>General's Jackboots</v>
      </c>
      <c r="B96" s="98"/>
    </row>
    <row r="97">
      <c r="A97" s="231" t="str">
        <f>IFERROR(__xludf.DUMMYFUNCTION("""COMPUTED_VALUE"""),"Field Marshal's Finery")</f>
        <v>Field Marshal's Finery</v>
      </c>
      <c r="B97" s="227" t="str">
        <f>IFERROR(__xludf.DUMMYFUNCTION("""COMPUTED_VALUE"""),"Recipe: Field Manual (Ultimate Key: Cryptic Crypts)")</f>
        <v>Recipe: Field Manual (Ultimate Key: Cryptic Crypts)</v>
      </c>
    </row>
    <row r="98">
      <c r="A98" s="231" t="str">
        <f>IFERROR(__xludf.DUMMYFUNCTION("""COMPUTED_VALUE"""),"Field Marshal's Footwear")</f>
        <v>Field Marshal's Footwear</v>
      </c>
      <c r="B98" s="98"/>
    </row>
    <row r="99">
      <c r="A99" s="228" t="str">
        <f>IFERROR(__xludf.DUMMYFUNCTION("""COMPUTED_VALUE"""),"Drustan's Helm")</f>
        <v>Drustan's Helm</v>
      </c>
      <c r="B99" s="229" t="str">
        <f>IFERROR(__xludf.DUMMYFUNCTION("""COMPUTED_VALUE"""),"Chest: The Disciple's Trial - The Eerie Valley")</f>
        <v>Chest: The Disciple's Trial - The Eerie Valley</v>
      </c>
    </row>
    <row r="100">
      <c r="A100" s="228" t="str">
        <f>IFERROR(__xludf.DUMMYFUNCTION("""COMPUTED_VALUE"""),"Drustan's Armour")</f>
        <v>Drustan's Armour</v>
      </c>
      <c r="B100" s="230" t="str">
        <f>IFERROR(__xludf.DUMMYFUNCTION("""COMPUTED_VALUE"""),"Chest: Luminary's Trial - 1F Sealed Room")</f>
        <v>Chest: Luminary's Trial - 1F Sealed Room</v>
      </c>
    </row>
    <row r="101">
      <c r="A101" s="225"/>
      <c r="B101" s="225"/>
    </row>
    <row r="102">
      <c r="A102" s="116" t="str">
        <f>IFERROR(__xludf.DUMMYFUNCTION("""COMPUTED_VALUE"""),"Swordsmith of Light")</f>
        <v>Swordsmith of Light</v>
      </c>
      <c r="B102" s="8"/>
    </row>
    <row r="103">
      <c r="A103" s="232" t="str">
        <f>IFERROR(__xludf.DUMMYFUNCTION("""COMPUTED_VALUE"""),"Collect the Lumen Essence from Disciple's Trial - Cursed Crypt and give to Miko in Mount Huji")</f>
        <v>Collect the Lumen Essence from Disciple's Trial - Cursed Crypt and give to Miko in Mount Huji</v>
      </c>
      <c r="B103" s="83"/>
    </row>
    <row r="104">
      <c r="A104" s="233" t="str">
        <f>IFERROR(__xludf.DUMMYFUNCTION("""COMPUTED_VALUE"""),"Forge a Sword of Light in the Crucible")</f>
        <v>Forge a Sword of Light in the Crucible</v>
      </c>
      <c r="B104" s="85"/>
    </row>
    <row r="105">
      <c r="A105" s="232" t="str">
        <f>IFERROR(__xludf.DUMMYFUNCTION("""COMPUTED_VALUE"""),"Sell an Orichalcum outside of the Hotto item shop, rest, and buy Sword of Kings the next day")</f>
        <v>Sell an Orichalcum outside of the Hotto item shop, rest, and buy Sword of Kings the next day</v>
      </c>
      <c r="B105" s="83"/>
    </row>
    <row r="106">
      <c r="A106" s="234" t="str">
        <f>IFERROR(__xludf.DUMMYFUNCTION("""COMPUTED_VALUE"""),"Horse Race Platinum Cup (Easy) for the Forging Hammer")</f>
        <v>Horse Race Platinum Cup (Easy) for the Forging Hammer</v>
      </c>
      <c r="B106" s="85"/>
    </row>
    <row r="107">
      <c r="A107" s="235" t="str">
        <f>IFERROR(__xludf.DUMMYFUNCTION("""COMPUTED_VALUE"""),"Complete a trial and make a wish for the Recipe")</f>
        <v>Complete a trial and make a wish for the Recipe</v>
      </c>
      <c r="B107" s="236"/>
    </row>
    <row r="108">
      <c r="A108" s="225"/>
      <c r="B108" s="225"/>
    </row>
    <row r="109">
      <c r="A109" s="116" t="str">
        <f>IFERROR(__xludf.DUMMYFUNCTION("""COMPUTED_VALUE"""),"Island-Hopper")</f>
        <v>Island-Hopper</v>
      </c>
      <c r="B109" s="25"/>
    </row>
    <row r="110">
      <c r="A110" s="237" t="str">
        <f>IFERROR(__xludf.DUMMYFUNCTION("""COMPUTED_VALUE"""),"Make port at every island, can be completed after the events at Lonalulu")</f>
        <v>Make port at every island, can be completed after the events at Lonalulu</v>
      </c>
    </row>
    <row r="111">
      <c r="A111" s="232" t="str">
        <f>IFERROR(__xludf.DUMMYFUNCTION("""COMPUTED_VALUE"""),"Insula Australis")</f>
        <v>Insula Australis</v>
      </c>
      <c r="B111" s="83"/>
    </row>
    <row r="112">
      <c r="A112" s="233" t="str">
        <f>IFERROR(__xludf.DUMMYFUNCTION("""COMPUTED_VALUE"""),"Insula Orientalis")</f>
        <v>Insula Orientalis</v>
      </c>
      <c r="B112" s="85"/>
    </row>
    <row r="113">
      <c r="A113" s="232" t="str">
        <f>IFERROR(__xludf.DUMMYFUNCTION("""COMPUTED_VALUE"""),"Insula Centralis")</f>
        <v>Insula Centralis</v>
      </c>
      <c r="B113" s="83"/>
    </row>
    <row r="114">
      <c r="A114" s="233" t="str">
        <f>IFERROR(__xludf.DUMMYFUNCTION("""COMPUTED_VALUE"""),"Insula Occidentalis")</f>
        <v>Insula Occidentalis</v>
      </c>
      <c r="B114" s="85"/>
    </row>
    <row r="115">
      <c r="A115" s="232" t="str">
        <f>IFERROR(__xludf.DUMMYFUNCTION("""COMPUTED_VALUE"""),"Insula Algarum")</f>
        <v>Insula Algarum</v>
      </c>
      <c r="B115" s="83"/>
    </row>
    <row r="116">
      <c r="A116" s="233" t="str">
        <f>IFERROR(__xludf.DUMMYFUNCTION("""COMPUTED_VALUE"""),"Insula Borealis")</f>
        <v>Insula Borealis</v>
      </c>
      <c r="B116" s="85"/>
    </row>
    <row r="117">
      <c r="A117" s="232" t="str">
        <f>IFERROR(__xludf.DUMMYFUNCTION("""COMPUTED_VALUE"""),"Insula Incognita")</f>
        <v>Insula Incognita</v>
      </c>
      <c r="B117" s="83"/>
    </row>
    <row r="118">
      <c r="A118" s="104" t="str">
        <f>IFERROR(__xludf.DUMMYFUNCTION("""COMPUTED_VALUE"""),"Other port locations (may not be needed)")</f>
        <v>Other port locations (may not be needed)</v>
      </c>
      <c r="B118" s="8"/>
    </row>
    <row r="119">
      <c r="A119" s="232" t="str">
        <f>IFERROR(__xludf.DUMMYFUNCTION("""COMPUTED_VALUE"""),"Gondolia - Sea")</f>
        <v>Gondolia - Sea</v>
      </c>
      <c r="B119" s="83"/>
    </row>
    <row r="120">
      <c r="A120" s="233" t="str">
        <f>IFERROR(__xludf.DUMMYFUNCTION("""COMPUTED_VALUE"""),"The Strand")</f>
        <v>The Strand</v>
      </c>
      <c r="B120" s="85"/>
    </row>
    <row r="121">
      <c r="A121" s="232" t="str">
        <f>IFERROR(__xludf.DUMMYFUNCTION("""COMPUTED_VALUE"""),"Lonalulu - Sea")</f>
        <v>Lonalulu - Sea</v>
      </c>
      <c r="B121" s="83"/>
    </row>
    <row r="122">
      <c r="A122" s="233" t="str">
        <f>IFERROR(__xludf.DUMMYFUNCTION("""COMPUTED_VALUE"""),"Sniflheim")</f>
        <v>Sniflheim</v>
      </c>
      <c r="B122" s="85"/>
    </row>
    <row r="123">
      <c r="A123" s="232" t="str">
        <f>IFERROR(__xludf.DUMMYFUNCTION("""COMPUTED_VALUE"""),"Viking Hideout")</f>
        <v>Viking Hideout</v>
      </c>
      <c r="B123" s="83"/>
    </row>
    <row r="124">
      <c r="A124" s="233" t="str">
        <f>IFERROR(__xludf.DUMMYFUNCTION("""COMPUTED_VALUE"""),"The Emerald Coast")</f>
        <v>The Emerald Coast</v>
      </c>
      <c r="B124" s="85"/>
    </row>
    <row r="125">
      <c r="A125" s="232" t="str">
        <f>IFERROR(__xludf.DUMMYFUNCTION("""COMPUTED_VALUE"""),"The Champs Sauvage")</f>
        <v>The Champs Sauvage</v>
      </c>
      <c r="B125" s="83"/>
    </row>
    <row r="126">
      <c r="A126" s="233" t="str">
        <f>IFERROR(__xludf.DUMMYFUNCTION("""COMPUTED_VALUE"""),"Zwaardsrust Region")</f>
        <v>Zwaardsrust Region</v>
      </c>
      <c r="B126" s="85"/>
    </row>
    <row r="127">
      <c r="A127" s="235" t="str">
        <f>IFERROR(__xludf.DUMMYFUNCTION("""COMPUTED_VALUE"""),"The Costa Valor")</f>
        <v>The Costa Valor</v>
      </c>
      <c r="B127" s="236"/>
    </row>
    <row r="128">
      <c r="A128" s="225"/>
      <c r="B128" s="225"/>
    </row>
    <row r="129">
      <c r="A129" s="116" t="str">
        <f>IFERROR(__xludf.DUMMYFUNCTION("""COMPUTED_VALUE"""),"Crossbow Colossus")</f>
        <v>Crossbow Colossus</v>
      </c>
      <c r="B129" s="25"/>
    </row>
    <row r="130">
      <c r="A130" s="233" t="str">
        <f>IFERROR(__xludf.DUMMYFUNCTION("""COMPUTED_VALUE"""),"Too much of a hassle for text, so here's a nice guide")</f>
        <v>Too much of a hassle for text, so here's a nice guide</v>
      </c>
      <c r="B130" s="85"/>
    </row>
    <row r="131">
      <c r="A131" s="238" t="str">
        <f>IFERROR(__xludf.DUMMYFUNCTION("""COMPUTED_VALUE"""),"https://www.hardcoregamer.com/2018/09/03/dragon-quest-xi-crossbow-target-guide/309712/")</f>
        <v>https://www.hardcoregamer.com/2018/09/03/dragon-quest-xi-crossbow-target-guide/309712/</v>
      </c>
      <c r="B131" s="236"/>
    </row>
    <row r="132">
      <c r="A132" s="225"/>
      <c r="B132" s="225"/>
    </row>
    <row r="133">
      <c r="A133" s="116" t="str">
        <f>IFERROR(__xludf.DUMMYFUNCTION("""COMPUTED_VALUE"""),"Mooterologist")</f>
        <v>Mooterologist</v>
      </c>
      <c r="B133" s="25"/>
    </row>
    <row r="134">
      <c r="A134" s="233" t="str">
        <f>IFERROR(__xludf.DUMMYFUNCTION("""COMPUTED_VALUE"""),"Speak to all the weather cows")</f>
        <v>Speak to all the weather cows</v>
      </c>
      <c r="B134" s="85"/>
    </row>
    <row r="135">
      <c r="A135" s="232" t="str">
        <f>IFERROR(__xludf.DUMMYFUNCTION("""COMPUTED_VALUE"""),"The Emerald Coast")</f>
        <v>The Emerald Coast</v>
      </c>
      <c r="B135" s="239" t="str">
        <f>IFERROR(__xludf.DUMMYFUNCTION("""COMPUTED_VALUE"""),"West from the camp, before the bridge to the northwest exit")</f>
        <v>West from the camp, before the bridge to the northwest exit</v>
      </c>
    </row>
    <row r="136">
      <c r="A136" s="233" t="str">
        <f>IFERROR(__xludf.DUMMYFUNCTION("""COMPUTED_VALUE"""),"Manglegrove #1")</f>
        <v>Manglegrove #1</v>
      </c>
      <c r="B136" s="240" t="str">
        <f>IFERROR(__xludf.DUMMYFUNCTION("""COMPUTED_VALUE"""),"North of the camp, across the bridge and to the west")</f>
        <v>North of the camp, across the bridge and to the west</v>
      </c>
    </row>
    <row r="137">
      <c r="A137" s="232" t="str">
        <f>IFERROR(__xludf.DUMMYFUNCTION("""COMPUTED_VALUE"""),"Manglegrove #2")</f>
        <v>Manglegrove #2</v>
      </c>
      <c r="B137" s="239" t="str">
        <f>IFERROR(__xludf.DUMMYFUNCTION("""COMPUTED_VALUE"""),"South of the camp, across the bridge and to the east")</f>
        <v>South of the camp, across the bridge and to the east</v>
      </c>
    </row>
    <row r="138">
      <c r="A138" s="233" t="str">
        <f>IFERROR(__xludf.DUMMYFUNCTION("""COMPUTED_VALUE"""),"Laguna di Gondolia")</f>
        <v>Laguna di Gondolia</v>
      </c>
      <c r="B138" s="240" t="str">
        <f>IFERROR(__xludf.DUMMYFUNCTION("""COMPUTED_VALUE"""),"Center area of the map, near the ramp to the platforms on the eastern side")</f>
        <v>Center area of the map, near the ramp to the platforms on the eastern side</v>
      </c>
    </row>
    <row r="139">
      <c r="A139" s="232" t="str">
        <f>IFERROR(__xludf.DUMMYFUNCTION("""COMPUTED_VALUE"""),"Zwaardsrust Region")</f>
        <v>Zwaardsrust Region</v>
      </c>
      <c r="B139" s="239" t="str">
        <f>IFERROR(__xludf.DUMMYFUNCTION("""COMPUTED_VALUE"""),"South of the inn, along the path to the ship")</f>
        <v>South of the inn, along the path to the ship</v>
      </c>
    </row>
    <row r="140">
      <c r="A140" s="233" t="str">
        <f>IFERROR(__xludf.DUMMYFUNCTION("""COMPUTED_VALUE"""),"Dundrasil Region")</f>
        <v>Dundrasil Region</v>
      </c>
      <c r="B140" s="240" t="str">
        <f>IFERROR(__xludf.DUMMYFUNCTION("""COMPUTED_VALUE"""),"Directly east of the camp")</f>
        <v>Directly east of the camp</v>
      </c>
    </row>
    <row r="141">
      <c r="A141" s="232" t="str">
        <f>IFERROR(__xludf.DUMMYFUNCTION("""COMPUTED_VALUE"""),"The Champs Sauvage")</f>
        <v>The Champs Sauvage</v>
      </c>
      <c r="B141" s="239" t="str">
        <f>IFERROR(__xludf.DUMMYFUNCTION("""COMPUTED_VALUE"""),"West from the bridge to Phnom Nonh")</f>
        <v>West from the bridge to Phnom Nonh</v>
      </c>
    </row>
    <row r="142">
      <c r="A142" s="233" t="str">
        <f>IFERROR(__xludf.DUMMYFUNCTION("""COMPUTED_VALUE"""),"Snifhleim Region")</f>
        <v>Snifhleim Region</v>
      </c>
      <c r="B142" s="240" t="str">
        <f>IFERROR(__xludf.DUMMYFUNCTION("""COMPUTED_VALUE"""),"Directly North of the entrance to Sniflheim")</f>
        <v>Directly North of the entrance to Sniflheim</v>
      </c>
    </row>
    <row r="143">
      <c r="A143" s="235" t="str">
        <f>IFERROR(__xludf.DUMMYFUNCTION("""COMPUTED_VALUE"""),"The Snaerfelt")</f>
        <v>The Snaerfelt</v>
      </c>
      <c r="B143" s="241" t="str">
        <f>IFERROR(__xludf.DUMMYFUNCTION("""COMPUTED_VALUE"""),"From the campsite head northwest, keeping the wall on your right until you spot it")</f>
        <v>From the campsite head northwest, keeping the wall on your right until you spot it</v>
      </c>
    </row>
    <row r="144">
      <c r="A144" s="225"/>
      <c r="B144" s="225"/>
    </row>
    <row r="145">
      <c r="A145" s="116" t="str">
        <f>IFERROR(__xludf.DUMMYFUNCTION("""COMPUTED_VALUE"""),"Puff-Puff")</f>
        <v>Puff-Puff</v>
      </c>
      <c r="B145" s="25"/>
    </row>
    <row r="146">
      <c r="A146" s="233" t="str">
        <f>IFERROR(__xludf.DUMMYFUNCTION("""COMPUTED_VALUE"""),"Hotto")</f>
        <v>Hotto</v>
      </c>
      <c r="B146" s="240" t="str">
        <f>IFERROR(__xludf.DUMMYFUNCTION("""COMPUTED_VALUE"""),"Steam Bath, go outside and follow the walkway to the girl at the end")</f>
        <v>Steam Bath, go outside and follow the walkway to the girl at the end</v>
      </c>
    </row>
    <row r="147">
      <c r="A147" s="232" t="str">
        <f>IFERROR(__xludf.DUMMYFUNCTION("""COMPUTED_VALUE"""),"Gallopolis")</f>
        <v>Gallopolis</v>
      </c>
      <c r="B147" s="239" t="str">
        <f>IFERROR(__xludf.DUMMYFUNCTION("""COMPUTED_VALUE"""),"Southeast part of town, between the shops, Girl in gold and blue")</f>
        <v>Southeast part of town, between the shops, Girl in gold and blue</v>
      </c>
    </row>
    <row r="148">
      <c r="A148" s="233" t="str">
        <f>IFERROR(__xludf.DUMMYFUNCTION("""COMPUTED_VALUE"""),"Gondolia")</f>
        <v>Gondolia</v>
      </c>
      <c r="B148" s="240" t="str">
        <f>IFERROR(__xludf.DUMMYFUNCTION("""COMPUTED_VALUE"""),"Northeast part of town, lower level.  Girl in checkered green and black.")</f>
        <v>Northeast part of town, lower level.  Girl in checkered green and black.</v>
      </c>
    </row>
    <row r="149">
      <c r="A149" s="232" t="str">
        <f>IFERROR(__xludf.DUMMYFUNCTION("""COMPUTED_VALUE"""),"Phnom Nonh")</f>
        <v>Phnom Nonh</v>
      </c>
      <c r="B149" s="239" t="str">
        <f>IFERROR(__xludf.DUMMYFUNCTION("""COMPUTED_VALUE"""),"Second floor of the inn, across from the counter")</f>
        <v>Second floor of the inn, across from the counter</v>
      </c>
    </row>
    <row r="150">
      <c r="A150" s="233" t="str">
        <f>IFERROR(__xludf.DUMMYFUNCTION("""COMPUTED_VALUE"""),"Sniflheim")</f>
        <v>Sniflheim</v>
      </c>
      <c r="B150" s="240" t="str">
        <f>IFERROR(__xludf.DUMMYFUNCTION("""COMPUTED_VALUE"""),"Meet her in the inn behind the counter, then at the Port the next day")</f>
        <v>Meet her in the inn behind the counter, then at the Port the next day</v>
      </c>
    </row>
    <row r="151">
      <c r="A151" s="242" t="str">
        <f>IFERROR(__xludf.DUMMYFUNCTION("""COMPUTED_VALUE"""),"Octagonia Casino")</f>
        <v>Octagonia Casino</v>
      </c>
      <c r="B151" s="239" t="str">
        <f>IFERROR(__xludf.DUMMYFUNCTION("""COMPUTED_VALUE"""),"Woman in long dress in the center, near the stairs to roulette area 
(can also be found before the Casino opens, near the elevator to the arena)")</f>
        <v>Woman in long dress in the center, near the stairs to roulette area 
(can also be found before the Casino opens, near the elevator to the arena)</v>
      </c>
    </row>
    <row r="152">
      <c r="A152" s="233" t="str">
        <f>IFERROR(__xludf.DUMMYFUNCTION("""COMPUTED_VALUE"""),"Octagonia Casino")</f>
        <v>Octagonia Casino</v>
      </c>
      <c r="B152" s="240" t="str">
        <f>IFERROR(__xludf.DUMMYFUNCTION("""COMPUTED_VALUE"""),"East side of roulette area, girl in checkered green and black")</f>
        <v>East side of roulette area, girl in checkered green and black</v>
      </c>
    </row>
    <row r="153">
      <c r="A153" s="235" t="str">
        <f>IFERROR(__xludf.DUMMYFUNCTION("""COMPUTED_VALUE"""),"The Battleground")</f>
        <v>The Battleground</v>
      </c>
      <c r="B153" s="241" t="str">
        <f>IFERROR(__xludf.DUMMYFUNCTION("""COMPUTED_VALUE"""),"Level 9, along the main path")</f>
        <v>Level 9, along the main path</v>
      </c>
    </row>
    <row r="154">
      <c r="A154" s="225"/>
      <c r="B154" s="225"/>
    </row>
    <row r="155">
      <c r="A155" s="116" t="str">
        <f>IFERROR(__xludf.DUMMYFUNCTION("""COMPUTED_VALUE"""),"Casino Connoisseur")</f>
        <v>Casino Connoisseur</v>
      </c>
      <c r="B155" s="25"/>
    </row>
    <row r="156">
      <c r="A156" s="233" t="str">
        <f>IFERROR(__xludf.DUMMYFUNCTION("""COMPUTED_VALUE"""),"Attain any 10 Casino-related accolades, slots are easiest, auto-play Slime Quest, and get the minimum play from the other games")</f>
        <v>Attain any 10 Casino-related accolades, slots are easiest, auto-play Slime Quest, and get the minimum play from the other games</v>
      </c>
      <c r="B156" s="85"/>
    </row>
    <row r="157">
      <c r="A157" s="243" t="str">
        <f>IFERROR(__xludf.DUMMYFUNCTION("""COMPUTED_VALUE"""),"Casino Tokens")</f>
        <v>Casino Tokens</v>
      </c>
      <c r="B157" s="244" t="str">
        <f>IFERROR(__xludf.DUMMYFUNCTION("""COMPUTED_VALUE"""),"3 available upon reaching 100k, 500k, 1 Million")</f>
        <v>3 available upon reaching 100k, 500k, 1 Million</v>
      </c>
    </row>
    <row r="158">
      <c r="A158" s="245" t="str">
        <f>IFERROR(__xludf.DUMMYFUNCTION("""COMPUTED_VALUE"""),"Slime Quest")</f>
        <v>Slime Quest</v>
      </c>
      <c r="B158" s="246" t="str">
        <f>IFERROR(__xludf.DUMMYFUNCTION("""COMPUTED_VALUE"""),"3 available for playing 200, 600, 1800 times")</f>
        <v>3 available for playing 200, 600, 1800 times</v>
      </c>
    </row>
    <row r="159">
      <c r="A159" s="247" t="str">
        <f>IFERROR(__xludf.DUMMYFUNCTION("""COMPUTED_VALUE"""),"Slime Quest Bonus")</f>
        <v>Slime Quest Bonus</v>
      </c>
      <c r="B159" s="248" t="str">
        <f>IFERROR(__xludf.DUMMYFUNCTION("""COMPUTED_VALUE"""),"2 available for getting a big bonus, and super bonus")</f>
        <v>2 available for getting a big bonus, and super bonus</v>
      </c>
    </row>
    <row r="160">
      <c r="A160" s="245" t="str">
        <f>IFERROR(__xludf.DUMMYFUNCTION("""COMPUTED_VALUE"""),"Slime Quest Events")</f>
        <v>Slime Quest Events</v>
      </c>
      <c r="B160" s="246" t="str">
        <f>IFERROR(__xludf.DUMMYFUNCTION("""COMPUTED_VALUE"""),"3 available for seeing events (Big Treasure, Revival, Freeze)")</f>
        <v>3 available for seeing events (Big Treasure, Revival, Freeze)</v>
      </c>
    </row>
    <row r="161">
      <c r="A161" s="247" t="str">
        <f>IFERROR(__xludf.DUMMYFUNCTION("""COMPUTED_VALUE"""),"Slots")</f>
        <v>Slots</v>
      </c>
      <c r="B161" s="248" t="str">
        <f>IFERROR(__xludf.DUMMYFUNCTION("""COMPUTED_VALUE"""),"3 available for playing 40,150, 500 times")</f>
        <v>3 available for playing 40,150, 500 times</v>
      </c>
    </row>
    <row r="162">
      <c r="A162" s="245" t="str">
        <f>IFERROR(__xludf.DUMMYFUNCTION("""COMPUTED_VALUE"""),"Slots 77777")</f>
        <v>Slots 77777</v>
      </c>
      <c r="B162" s="246" t="str">
        <f>IFERROR(__xludf.DUMMYFUNCTION("""COMPUTED_VALUE"""),"1 available for hitting 77777 on the slots")</f>
        <v>1 available for hitting 77777 on the slots</v>
      </c>
    </row>
    <row r="163">
      <c r="A163" s="247" t="str">
        <f>IFERROR(__xludf.DUMMYFUNCTION("""COMPUTED_VALUE"""),"Slots Jackpot")</f>
        <v>Slots Jackpot</v>
      </c>
      <c r="B163" s="248" t="str">
        <f>IFERROR(__xludf.DUMMYFUNCTION("""COMPUTED_VALUE"""),"1 available for hitting jackpot on the slots (can be triggered simultaneously with 77777 during metal mode)")</f>
        <v>1 available for hitting jackpot on the slots (can be triggered simultaneously with 77777 during metal mode)</v>
      </c>
    </row>
    <row r="164">
      <c r="A164" s="245" t="str">
        <f>IFERROR(__xludf.DUMMYFUNCTION("""COMPUTED_VALUE"""),"Poker")</f>
        <v>Poker</v>
      </c>
      <c r="B164" s="246" t="str">
        <f>IFERROR(__xludf.DUMMYFUNCTION("""COMPUTED_VALUE"""),"3 available for playing 40, 120, 360 times")</f>
        <v>3 available for playing 40, 120, 360 times</v>
      </c>
    </row>
    <row r="165">
      <c r="A165" s="247" t="str">
        <f>IFERROR(__xludf.DUMMYFUNCTION("""COMPUTED_VALUE"""),"Double or Nothing")</f>
        <v>Double or Nothing</v>
      </c>
      <c r="B165" s="248" t="str">
        <f>IFERROR(__xludf.DUMMYFUNCTION("""COMPUTED_VALUE"""),"1 available for winning Double or Nothing 10 consecutive times")</f>
        <v>1 available for winning Double or Nothing 10 consecutive times</v>
      </c>
    </row>
    <row r="166">
      <c r="A166" s="245" t="str">
        <f>IFERROR(__xludf.DUMMYFUNCTION("""COMPUTED_VALUE"""),"Royal Slimer")</f>
        <v>Royal Slimer</v>
      </c>
      <c r="B166" s="246" t="str">
        <f>IFERROR(__xludf.DUMMYFUNCTION("""COMPUTED_VALUE"""),"1 available for making a Royal Jelly Flush")</f>
        <v>1 available for making a Royal Jelly Flush</v>
      </c>
    </row>
    <row r="167">
      <c r="A167" s="247" t="str">
        <f>IFERROR(__xludf.DUMMYFUNCTION("""COMPUTED_VALUE"""),"Roulette")</f>
        <v>Roulette</v>
      </c>
      <c r="B167" s="248" t="str">
        <f>IFERROR(__xludf.DUMMYFUNCTION("""COMPUTED_VALUE"""),"3 available for playing, 15, 40, 120 times")</f>
        <v>3 available for playing, 15, 40, 120 times</v>
      </c>
    </row>
    <row r="168">
      <c r="A168" s="245" t="str">
        <f>IFERROR(__xludf.DUMMYFUNCTION("""COMPUTED_VALUE"""),"Roulette Jackpot")</f>
        <v>Roulette Jackpot</v>
      </c>
      <c r="B168" s="246" t="str">
        <f>IFERROR(__xludf.DUMMYFUNCTION("""COMPUTED_VALUE"""),"1 available for hitting the jackpot in roulette")</f>
        <v>1 available for hitting the jackpot in roulette</v>
      </c>
    </row>
    <row r="169">
      <c r="A169" s="249" t="str">
        <f>IFERROR(__xludf.DUMMYFUNCTION("""COMPUTED_VALUE"""),"Roulette Treasure")</f>
        <v>Roulette Treasure</v>
      </c>
      <c r="B169" s="250" t="str">
        <f>IFERROR(__xludf.DUMMYFUNCTION("""COMPUTED_VALUE"""),"1 available for hitting the treasure in roulette (will not count if gotten with jackpot)")</f>
        <v>1 available for hitting the treasure in roulette (will not count if gotten with jackpot)</v>
      </c>
    </row>
    <row r="170">
      <c r="A170" s="225"/>
      <c r="B170" s="225"/>
    </row>
    <row r="171">
      <c r="A171" s="116" t="str">
        <f>IFERROR(__xludf.DUMMYFUNCTION("""COMPUTED_VALUE"""),"Till Death Do Us Part")</f>
        <v>Till Death Do Us Part</v>
      </c>
      <c r="B171" s="25"/>
    </row>
    <row r="172">
      <c r="A172" s="224" t="str">
        <f>IFERROR(__xludf.DUMMYFUNCTION("""COMPUTED_VALUE"""),"Related to the trial events in the postgame")</f>
        <v>Related to the trial events in the postgame</v>
      </c>
      <c r="B172" s="7"/>
    </row>
    <row r="173">
      <c r="A173" s="225"/>
      <c r="B173" s="225"/>
    </row>
    <row r="174">
      <c r="A174" s="116" t="str">
        <f>IFERROR(__xludf.DUMMYFUNCTION("""COMPUTED_VALUE"""),"Worrywart")</f>
        <v>Worrywart</v>
      </c>
      <c r="B174" s="8"/>
    </row>
    <row r="175">
      <c r="A175" s="251" t="str">
        <f>IFERROR(__xludf.DUMMYFUNCTION("""COMPUTED_VALUE"""),"Try to use the Heal All menu command when the party is at full health")</f>
        <v>Try to use the Heal All menu command when the party is at full health</v>
      </c>
      <c r="B175" s="252"/>
    </row>
  </sheetData>
  <mergeCells count="50">
    <mergeCell ref="A3:B3"/>
    <mergeCell ref="A4:B4"/>
    <mergeCell ref="A14:B14"/>
    <mergeCell ref="A15:B15"/>
    <mergeCell ref="A16:B16"/>
    <mergeCell ref="B19:B20"/>
    <mergeCell ref="B23:B24"/>
    <mergeCell ref="B27:B28"/>
    <mergeCell ref="A29:B29"/>
    <mergeCell ref="B30:B31"/>
    <mergeCell ref="B34:B35"/>
    <mergeCell ref="A38:B38"/>
    <mergeCell ref="B41:B42"/>
    <mergeCell ref="B44:B45"/>
    <mergeCell ref="B46:B47"/>
    <mergeCell ref="A48:B48"/>
    <mergeCell ref="B50:B51"/>
    <mergeCell ref="B53:B54"/>
    <mergeCell ref="B55:B56"/>
    <mergeCell ref="A60:B60"/>
    <mergeCell ref="B61:B62"/>
    <mergeCell ref="B64:B65"/>
    <mergeCell ref="B66:B67"/>
    <mergeCell ref="B68:B69"/>
    <mergeCell ref="A70:B70"/>
    <mergeCell ref="B71:B72"/>
    <mergeCell ref="B73:B74"/>
    <mergeCell ref="B75:B76"/>
    <mergeCell ref="B77:B78"/>
    <mergeCell ref="A79:B79"/>
    <mergeCell ref="B80:B82"/>
    <mergeCell ref="B85:B86"/>
    <mergeCell ref="B88:B89"/>
    <mergeCell ref="B91:B92"/>
    <mergeCell ref="A93:B93"/>
    <mergeCell ref="A133:B133"/>
    <mergeCell ref="A145:B145"/>
    <mergeCell ref="A155:B155"/>
    <mergeCell ref="A156:B156"/>
    <mergeCell ref="A171:B171"/>
    <mergeCell ref="A172:B172"/>
    <mergeCell ref="A174:B174"/>
    <mergeCell ref="A175:B175"/>
    <mergeCell ref="B95:B96"/>
    <mergeCell ref="B97:B98"/>
    <mergeCell ref="A102:B102"/>
    <mergeCell ref="A109:B109"/>
    <mergeCell ref="A110:B110"/>
    <mergeCell ref="A118:B118"/>
    <mergeCell ref="A129:B129"/>
  </mergeCells>
  <hyperlinks>
    <hyperlink r:id="rId1" ref="A13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60.13"/>
  </cols>
  <sheetData>
    <row r="1">
      <c r="A1" s="253" t="str">
        <f>IFERROR(__xludf.DUMMYFUNCTION("IMPORTRANGE(""1pGQGO9M_OLNstXbY45t1_zMDCLpiw8pwB7y8fM3IKkA"",""Accolades!A1:B234"")"),"Accolade")</f>
        <v>Accolade</v>
      </c>
      <c r="B1" s="254" t="str">
        <f>IFERROR(__xludf.DUMMYFUNCTION("""COMPUTED_VALUE"""),"Description")</f>
        <v>Description</v>
      </c>
    </row>
    <row r="2">
      <c r="A2" s="255" t="str">
        <f>IFERROR(__xludf.DUMMYFUNCTION("""COMPUTED_VALUE"""),"There are 253 Accolades to obtain, the final one will be acquired after earning the other 252")</f>
        <v>There are 253 Accolades to obtain, the final one will be acquired after earning the other 252</v>
      </c>
      <c r="B2" s="8"/>
    </row>
    <row r="3">
      <c r="A3" s="104" t="str">
        <f>IFERROR(__xludf.DUMMYFUNCTION("""COMPUTED_VALUE"""),"Story (28)")</f>
        <v>Story (28)</v>
      </c>
      <c r="B3" s="25"/>
    </row>
    <row r="4">
      <c r="A4" s="255" t="str">
        <f>IFERROR(__xludf.DUMMYFUNCTION("""COMPUTED_VALUE"""),"28 Accolades given throughout the story and postgame")</f>
        <v>28 Accolades given throughout the story and postgame</v>
      </c>
      <c r="B4" s="8"/>
    </row>
    <row r="5">
      <c r="A5" s="104" t="str">
        <f>IFERROR(__xludf.DUMMYFUNCTION("""COMPUTED_VALUE"""),"Battle (28)")</f>
        <v>Battle (28)</v>
      </c>
      <c r="B5" s="25"/>
    </row>
    <row r="6">
      <c r="A6" s="228" t="str">
        <f>IFERROR(__xludf.DUMMYFUNCTION("""COMPUTED_VALUE"""),"Fledgling Fighter")</f>
        <v>Fledgling Fighter</v>
      </c>
      <c r="B6" s="228" t="str">
        <f>IFERROR(__xludf.DUMMYFUNCTION("""COMPUTED_VALUE"""),"Victory in at least 50 battles")</f>
        <v>Victory in at least 50 battles</v>
      </c>
    </row>
    <row r="7">
      <c r="A7" s="231" t="str">
        <f>IFERROR(__xludf.DUMMYFUNCTION("""COMPUTED_VALUE"""),"Practised Pummeller")</f>
        <v>Practised Pummeller</v>
      </c>
      <c r="B7" s="231" t="str">
        <f>IFERROR(__xludf.DUMMYFUNCTION("""COMPUTED_VALUE"""),"Victory in at least 250 battles")</f>
        <v>Victory in at least 250 battles</v>
      </c>
    </row>
    <row r="8">
      <c r="A8" s="228" t="str">
        <f>IFERROR(__xludf.DUMMYFUNCTION("""COMPUTED_VALUE"""),"Well-Versed Victor")</f>
        <v>Well-Versed Victor</v>
      </c>
      <c r="B8" s="228" t="str">
        <f>IFERROR(__xludf.DUMMYFUNCTION("""COMPUTED_VALUE"""),"Victory in at least 500 battles")</f>
        <v>Victory in at least 500 battles</v>
      </c>
    </row>
    <row r="9">
      <c r="A9" s="231" t="str">
        <f>IFERROR(__xludf.DUMMYFUNCTION("""COMPUTED_VALUE"""),"Virtuoso Vanquisher")</f>
        <v>Virtuoso Vanquisher</v>
      </c>
      <c r="B9" s="231" t="str">
        <f>IFERROR(__xludf.DUMMYFUNCTION("""COMPUTED_VALUE"""),"Victory in at least 700 battles")</f>
        <v>Victory in at least 700 battles</v>
      </c>
    </row>
    <row r="10">
      <c r="A10" s="228" t="str">
        <f>IFERROR(__xludf.DUMMYFUNCTION("""COMPUTED_VALUE"""),"Incomparable Conqueror")</f>
        <v>Incomparable Conqueror</v>
      </c>
      <c r="B10" s="228" t="str">
        <f>IFERROR(__xludf.DUMMYFUNCTION("""COMPUTED_VALUE"""),"Victory in at least 1000 battles")</f>
        <v>Victory in at least 1000 battles</v>
      </c>
    </row>
    <row r="11">
      <c r="A11" s="231" t="str">
        <f>IFERROR(__xludf.DUMMYFUNCTION("""COMPUTED_VALUE"""),"Critter Hitter")</f>
        <v>Critter Hitter</v>
      </c>
      <c r="B11" s="231" t="str">
        <f>IFERROR(__xludf.DUMMYFUNCTION("""COMPUTED_VALUE"""),"Defeated 300 monsters")</f>
        <v>Defeated 300 monsters</v>
      </c>
    </row>
    <row r="12">
      <c r="A12" s="228" t="str">
        <f>IFERROR(__xludf.DUMMYFUNCTION("""COMPUTED_VALUE"""),"Monster Masher")</f>
        <v>Monster Masher</v>
      </c>
      <c r="B12" s="228" t="str">
        <f>IFERROR(__xludf.DUMMYFUNCTION("""COMPUTED_VALUE"""),"Defeated 700 monsters")</f>
        <v>Defeated 700 monsters</v>
      </c>
    </row>
    <row r="13">
      <c r="A13" s="231" t="str">
        <f>IFERROR(__xludf.DUMMYFUNCTION("""COMPUTED_VALUE"""),"Beast Blaster")</f>
        <v>Beast Blaster</v>
      </c>
      <c r="B13" s="231" t="str">
        <f>IFERROR(__xludf.DUMMYFUNCTION("""COMPUTED_VALUE"""),"Defeated 1000 monsters")</f>
        <v>Defeated 1000 monsters</v>
      </c>
    </row>
    <row r="14">
      <c r="A14" s="228" t="str">
        <f>IFERROR(__xludf.DUMMYFUNCTION("""COMPUTED_VALUE"""),"Creature Crusher")</f>
        <v>Creature Crusher</v>
      </c>
      <c r="B14" s="228" t="str">
        <f>IFERROR(__xludf.DUMMYFUNCTION("""COMPUTED_VALUE"""),"Defeated 1500 monsters")</f>
        <v>Defeated 1500 monsters</v>
      </c>
    </row>
    <row r="15">
      <c r="A15" s="231" t="str">
        <f>IFERROR(__xludf.DUMMYFUNCTION("""COMPUTED_VALUE"""),"Exterminator")</f>
        <v>Exterminator</v>
      </c>
      <c r="B15" s="231" t="str">
        <f>IFERROR(__xludf.DUMMYFUNCTION("""COMPUTED_VALUE"""),"Defeated 2000 monsters")</f>
        <v>Defeated 2000 monsters</v>
      </c>
    </row>
    <row r="16">
      <c r="A16" s="228" t="str">
        <f>IFERROR(__xludf.DUMMYFUNCTION("""COMPUTED_VALUE"""),"Amateur Monsterologist")</f>
        <v>Amateur Monsterologist</v>
      </c>
      <c r="B16" s="228" t="str">
        <f>IFERROR(__xludf.DUMMYFUNCTION("""COMPUTED_VALUE"""),"Defeat 100 different species of monster")</f>
        <v>Defeat 100 different species of monster</v>
      </c>
    </row>
    <row r="17">
      <c r="A17" s="231" t="str">
        <f>IFERROR(__xludf.DUMMYFUNCTION("""COMPUTED_VALUE"""),"Minor Monsterologist")</f>
        <v>Minor Monsterologist</v>
      </c>
      <c r="B17" s="231" t="str">
        <f>IFERROR(__xludf.DUMMYFUNCTION("""COMPUTED_VALUE"""),"Defeat 200 different species of monster")</f>
        <v>Defeat 200 different species of monster</v>
      </c>
    </row>
    <row r="18">
      <c r="A18" s="228" t="str">
        <f>IFERROR(__xludf.DUMMYFUNCTION("""COMPUTED_VALUE"""),"Monsterology Major")</f>
        <v>Monsterology Major</v>
      </c>
      <c r="B18" s="228" t="str">
        <f>IFERROR(__xludf.DUMMYFUNCTION("""COMPUTED_VALUE"""),"Defeat 400 different species of monster")</f>
        <v>Defeat 400 different species of monster</v>
      </c>
    </row>
    <row r="19">
      <c r="A19" s="231" t="str">
        <f>IFERROR(__xludf.DUMMYFUNCTION("""COMPUTED_VALUE"""),"Master of Monsterology")</f>
        <v>Master of Monsterology</v>
      </c>
      <c r="B19" s="231" t="str">
        <f>IFERROR(__xludf.DUMMYFUNCTION("""COMPUTED_VALUE"""),"Defeat 600 different species of monster")</f>
        <v>Defeat 600 different species of monster</v>
      </c>
    </row>
    <row r="20">
      <c r="A20" s="228" t="str">
        <f>IFERROR(__xludf.DUMMYFUNCTION("""COMPUTED_VALUE"""),"Monsterologer Royal")</f>
        <v>Monsterologer Royal</v>
      </c>
      <c r="B20" s="228" t="str">
        <f>IFERROR(__xludf.DUMMYFUNCTION("""COMPUTED_VALUE"""),"Defeat 660 different species of monster (postgame final boss is unnecessary)")</f>
        <v>Defeat 660 different species of monster (postgame final boss is unnecessary)</v>
      </c>
    </row>
    <row r="21">
      <c r="A21" s="231" t="str">
        <f>IFERROR(__xludf.DUMMYFUNCTION("""COMPUTED_VALUE"""),"Scrap Merchant")</f>
        <v>Scrap Merchant</v>
      </c>
      <c r="B21" s="231" t="str">
        <f>IFERROR(__xludf.DUMMYFUNCTION("""COMPUTED_VALUE"""),"Defeat 30 metal monsters")</f>
        <v>Defeat 30 metal monsters</v>
      </c>
    </row>
    <row r="22">
      <c r="A22" s="228" t="str">
        <f>IFERROR(__xludf.DUMMYFUNCTION("""COMPUTED_VALUE"""),"Dragon Slayer")</f>
        <v>Dragon Slayer</v>
      </c>
      <c r="B22" s="228" t="str">
        <f>IFERROR(__xludf.DUMMYFUNCTION("""COMPUTED_VALUE"""),"Defeat the black dragon below Heliodor")</f>
        <v>Defeat the black dragon below Heliodor</v>
      </c>
    </row>
    <row r="23">
      <c r="A23" s="231" t="str">
        <f>IFERROR(__xludf.DUMMYFUNCTION("""COMPUTED_VALUE"""),"Pre-Emptor")</f>
        <v>Pre-Emptor</v>
      </c>
      <c r="B23" s="231" t="str">
        <f>IFERROR(__xludf.DUMMYFUNCTION("""COMPUTED_VALUE"""),"Make 30 pre-emptive attacks on enemies")</f>
        <v>Make 30 pre-emptive attacks on enemies</v>
      </c>
    </row>
    <row r="24">
      <c r="A24" s="228" t="str">
        <f>IFERROR(__xludf.DUMMYFUNCTION("""COMPUTED_VALUE"""),"Provoker")</f>
        <v>Provoker</v>
      </c>
      <c r="B24" s="228" t="str">
        <f>IFERROR(__xludf.DUMMYFUNCTION("""COMPUTED_VALUE"""),"Make 100 pre-emptive attacks on enemies")</f>
        <v>Make 100 pre-emptive attacks on enemies</v>
      </c>
    </row>
    <row r="25">
      <c r="A25" s="231" t="str">
        <f>IFERROR(__xludf.DUMMYFUNCTION("""COMPUTED_VALUE"""),"Aggravator")</f>
        <v>Aggravator</v>
      </c>
      <c r="B25" s="231" t="str">
        <f>IFERROR(__xludf.DUMMYFUNCTION("""COMPUTED_VALUE"""),"Make 200 pre-emptive attacks on enemies")</f>
        <v>Make 200 pre-emptive attacks on enemies</v>
      </c>
    </row>
    <row r="26">
      <c r="A26" s="228" t="str">
        <f>IFERROR(__xludf.DUMMYFUNCTION("""COMPUTED_VALUE"""),"Antagonist")</f>
        <v>Antagonist</v>
      </c>
      <c r="B26" s="228" t="str">
        <f>IFERROR(__xludf.DUMMYFUNCTION("""COMPUTED_VALUE"""),"Make 300 pre-emptive attacks on enemies")</f>
        <v>Make 300 pre-emptive attacks on enemies</v>
      </c>
    </row>
    <row r="27">
      <c r="A27" s="231" t="str">
        <f>IFERROR(__xludf.DUMMYFUNCTION("""COMPUTED_VALUE"""),"Space Invader")</f>
        <v>Space Invader</v>
      </c>
      <c r="B27" s="231" t="str">
        <f>IFERROR(__xludf.DUMMYFUNCTION("""COMPUTED_VALUE"""),"Make 500 pre-emptive attacks on enemies")</f>
        <v>Make 500 pre-emptive attacks on enemies</v>
      </c>
    </row>
    <row r="28">
      <c r="A28" s="228" t="str">
        <f>IFERROR(__xludf.DUMMYFUNCTION("""COMPUTED_VALUE"""),"Prepped to Pep")</f>
        <v>Prepped to Pep</v>
      </c>
      <c r="B28" s="228" t="str">
        <f>IFERROR(__xludf.DUMMYFUNCTION("""COMPUTED_VALUE"""),"Performed 10 pep powers")</f>
        <v>Performed 10 pep powers</v>
      </c>
    </row>
    <row r="29">
      <c r="A29" s="231" t="str">
        <f>IFERROR(__xludf.DUMMYFUNCTION("""COMPUTED_VALUE"""),"Peppy-Go-Lucky")</f>
        <v>Peppy-Go-Lucky</v>
      </c>
      <c r="B29" s="231" t="str">
        <f>IFERROR(__xludf.DUMMYFUNCTION("""COMPUTED_VALUE"""),"Performed 25 pep powers")</f>
        <v>Performed 25 pep powers</v>
      </c>
    </row>
    <row r="30">
      <c r="A30" s="228" t="str">
        <f>IFERROR(__xludf.DUMMYFUNCTION("""COMPUTED_VALUE"""),"Hot Pepper")</f>
        <v>Hot Pepper</v>
      </c>
      <c r="B30" s="228" t="str">
        <f>IFERROR(__xludf.DUMMYFUNCTION("""COMPUTED_VALUE"""),"Performed 50 pep powers")</f>
        <v>Performed 50 pep powers</v>
      </c>
    </row>
    <row r="31">
      <c r="A31" s="231" t="str">
        <f>IFERROR(__xludf.DUMMYFUNCTION("""COMPUTED_VALUE"""),"Pep Star")</f>
        <v>Pep Star</v>
      </c>
      <c r="B31" s="231" t="str">
        <f>IFERROR(__xludf.DUMMYFUNCTION("""COMPUTED_VALUE"""),"Performed 100 pep powers")</f>
        <v>Performed 100 pep powers</v>
      </c>
    </row>
    <row r="32">
      <c r="A32" s="228" t="str">
        <f>IFERROR(__xludf.DUMMYFUNCTION("""COMPUTED_VALUE"""),"Pepper Army")</f>
        <v>Pepper Army</v>
      </c>
      <c r="B32" s="228" t="str">
        <f>IFERROR(__xludf.DUMMYFUNCTION("""COMPUTED_VALUE"""),"Witnessed every pep power")</f>
        <v>Witnessed every pep power</v>
      </c>
    </row>
    <row r="33">
      <c r="A33" s="231" t="str">
        <f>IFERROR(__xludf.DUMMYFUNCTION("""COMPUTED_VALUE"""),"Ultimate Enlightenment")</f>
        <v>Ultimate Enlightenment</v>
      </c>
      <c r="B33" s="231" t="str">
        <f>IFERROR(__xludf.DUMMYFUNCTION("""COMPUTED_VALUE"""),"Overcome every challenge that the Wheel of Harma has to offer")</f>
        <v>Overcome every challenge that the Wheel of Harma has to offer</v>
      </c>
    </row>
    <row r="34">
      <c r="A34" s="104" t="str">
        <f>IFERROR(__xludf.DUMMYFUNCTION("""COMPUTED_VALUE"""),"Forging (33)")</f>
        <v>Forging (33)</v>
      </c>
      <c r="B34" s="8"/>
    </row>
    <row r="35">
      <c r="A35" s="231" t="str">
        <f>IFERROR(__xludf.DUMMYFUNCTION("""COMPUTED_VALUE"""),"Forging Ahead")</f>
        <v>Forging Ahead</v>
      </c>
      <c r="B35" s="231" t="str">
        <f>IFERROR(__xludf.DUMMYFUNCTION("""COMPUTED_VALUE"""),"Craft 10 items with the Fun-Size Forge")</f>
        <v>Craft 10 items with the Fun-Size Forge</v>
      </c>
    </row>
    <row r="36">
      <c r="A36" s="228" t="str">
        <f>IFERROR(__xludf.DUMMYFUNCTION("""COMPUTED_VALUE"""),"Hammer and Tongs")</f>
        <v>Hammer and Tongs</v>
      </c>
      <c r="B36" s="114" t="str">
        <f>IFERROR(__xludf.DUMMYFUNCTION("""COMPUTED_VALUE"""),"Craft 100 items with the Fun-Size Forge")</f>
        <v>Craft 100 items with the Fun-Size Forge</v>
      </c>
    </row>
    <row r="37">
      <c r="A37" s="231" t="str">
        <f>IFERROR(__xludf.DUMMYFUNCTION("""COMPUTED_VALUE"""),"Brilliant Blacksmith")</f>
        <v>Brilliant Blacksmith</v>
      </c>
      <c r="B37" s="115" t="str">
        <f>IFERROR(__xludf.DUMMYFUNCTION("""COMPUTED_VALUE"""),"Craft 300 items with the Fun-Size Forge")</f>
        <v>Craft 300 items with the Fun-Size Forge</v>
      </c>
    </row>
    <row r="38">
      <c r="A38" s="228" t="str">
        <f>IFERROR(__xludf.DUMMYFUNCTION("""COMPUTED_VALUE"""),"If At First You Don't Succeed")</f>
        <v>If At First You Don't Succeed</v>
      </c>
      <c r="B38" s="114" t="str">
        <f>IFERROR(__xludf.DUMMYFUNCTION("""COMPUTED_VALUE"""),"Rework 10 items with the Fun-Size Forge")</f>
        <v>Rework 10 items with the Fun-Size Forge</v>
      </c>
    </row>
    <row r="39">
      <c r="A39" s="231" t="str">
        <f>IFERROR(__xludf.DUMMYFUNCTION("""COMPUTED_VALUE"""),"Try, Try Again")</f>
        <v>Try, Try Again</v>
      </c>
      <c r="B39" s="115" t="str">
        <f>IFERROR(__xludf.DUMMYFUNCTION("""COMPUTED_VALUE"""),"Rework 100 items with the Fun-Size Forge")</f>
        <v>Rework 100 items with the Fun-Size Forge</v>
      </c>
    </row>
    <row r="40">
      <c r="A40" s="228" t="str">
        <f>IFERROR(__xludf.DUMMYFUNCTION("""COMPUTED_VALUE"""),"Perfectionist")</f>
        <v>Perfectionist</v>
      </c>
      <c r="B40" s="114" t="str">
        <f>IFERROR(__xludf.DUMMYFUNCTION("""COMPUTED_VALUE"""),"Rework 300 items with the Fun-Size Forge")</f>
        <v>Rework 300 items with the Fun-Size Forge</v>
      </c>
    </row>
    <row r="41">
      <c r="A41" s="231" t="str">
        <f>IFERROR(__xludf.DUMMYFUNCTION("""COMPUTED_VALUE"""),"Big Hitter")</f>
        <v>Big Hitter</v>
      </c>
      <c r="B41" s="115" t="str">
        <f>IFERROR(__xludf.DUMMYFUNCTION("""COMPUTED_VALUE"""),"Craft a +3 piece of equipment")</f>
        <v>Craft a +3 piece of equipment</v>
      </c>
    </row>
    <row r="42">
      <c r="A42" s="228" t="str">
        <f>IFERROR(__xludf.DUMMYFUNCTION("""COMPUTED_VALUE"""),"Superior Swordsmith")</f>
        <v>Superior Swordsmith</v>
      </c>
      <c r="B42" s="114" t="str">
        <f>IFERROR(__xludf.DUMMYFUNCTION("""COMPUTED_VALUE"""),"Achieve a gold start rating for all swords")</f>
        <v>Achieve a gold start rating for all swords</v>
      </c>
    </row>
    <row r="43">
      <c r="A43" s="231" t="str">
        <f>IFERROR(__xludf.DUMMYFUNCTION("""COMPUTED_VALUE"""),"Greatsword Grand Master")</f>
        <v>Greatsword Grand Master</v>
      </c>
      <c r="B43" s="115" t="str">
        <f>IFERROR(__xludf.DUMMYFUNCTION("""COMPUTED_VALUE"""),"Achieve a gold star rating for all ")</f>
        <v>Achieve a gold star rating for all </v>
      </c>
    </row>
    <row r="44">
      <c r="A44" s="228" t="str">
        <f>IFERROR(__xludf.DUMMYFUNCTION("""COMPUTED_VALUE"""),"Master Cutler")</f>
        <v>Master Cutler</v>
      </c>
      <c r="B44" s="114" t="str">
        <f>IFERROR(__xludf.DUMMYFUNCTION("""COMPUTED_VALUE"""),"Achieve a gold star rating for all ")</f>
        <v>Achieve a gold star rating for all </v>
      </c>
    </row>
    <row r="45">
      <c r="A45" s="231" t="str">
        <f>IFERROR(__xludf.DUMMYFUNCTION("""COMPUTED_VALUE"""),"Wondrous Wandmaker")</f>
        <v>Wondrous Wandmaker</v>
      </c>
      <c r="B45" s="115" t="str">
        <f>IFERROR(__xludf.DUMMYFUNCTION("""COMPUTED_VALUE"""),"Achieve a gold star rating for all ")</f>
        <v>Achieve a gold star rating for all </v>
      </c>
    </row>
    <row r="46">
      <c r="A46" s="228" t="str">
        <f>IFERROR(__xludf.DUMMYFUNCTION("""COMPUTED_VALUE"""),"High-End Heavy-Wandmaker")</f>
        <v>High-End Heavy-Wandmaker</v>
      </c>
      <c r="B46" s="114" t="str">
        <f>IFERROR(__xludf.DUMMYFUNCTION("""COMPUTED_VALUE"""),"Achieve a gold star rating for all ")</f>
        <v>Achieve a gold star rating for all </v>
      </c>
    </row>
    <row r="47">
      <c r="A47" s="231" t="str">
        <f>IFERROR(__xludf.DUMMYFUNCTION("""COMPUTED_VALUE"""),"Spearcrafting Supremo")</f>
        <v>Spearcrafting Supremo</v>
      </c>
      <c r="B47" s="115" t="str">
        <f>IFERROR(__xludf.DUMMYFUNCTION("""COMPUTED_VALUE"""),"Achieve a gold star rating for all ")</f>
        <v>Achieve a gold star rating for all </v>
      </c>
    </row>
    <row r="48">
      <c r="A48" s="228" t="str">
        <f>IFERROR(__xludf.DUMMYFUNCTION("""COMPUTED_VALUE"""),"Ace Axologist")</f>
        <v>Ace Axologist</v>
      </c>
      <c r="B48" s="114" t="str">
        <f>IFERROR(__xludf.DUMMYFUNCTION("""COMPUTED_VALUE"""),"Achieve a gold star rating for all ")</f>
        <v>Achieve a gold star rating for all </v>
      </c>
    </row>
    <row r="49">
      <c r="A49" s="231" t="str">
        <f>IFERROR(__xludf.DUMMYFUNCTION("""COMPUTED_VALUE"""),"Crack Clawcraftsperson")</f>
        <v>Crack Clawcraftsperson</v>
      </c>
      <c r="B49" s="115" t="str">
        <f>IFERROR(__xludf.DUMMYFUNCTION("""COMPUTED_VALUE"""),"Achieve a gold star rating for all ")</f>
        <v>Achieve a gold star rating for all </v>
      </c>
    </row>
    <row r="50">
      <c r="A50" s="228" t="str">
        <f>IFERROR(__xludf.DUMMYFUNCTION("""COMPUTED_VALUE"""),"Whip-Making Wizard")</f>
        <v>Whip-Making Wizard</v>
      </c>
      <c r="B50" s="114" t="str">
        <f>IFERROR(__xludf.DUMMYFUNCTION("""COMPUTED_VALUE"""),"Achieve a gold star rating for all ")</f>
        <v>Achieve a gold star rating for all </v>
      </c>
    </row>
    <row r="51">
      <c r="A51" s="231" t="str">
        <f>IFERROR(__xludf.DUMMYFUNCTION("""COMPUTED_VALUE"""),"Big, Bad Boomerang-Builder")</f>
        <v>Big, Bad Boomerang-Builder</v>
      </c>
      <c r="B51" s="115" t="str">
        <f>IFERROR(__xludf.DUMMYFUNCTION("""COMPUTED_VALUE"""),"Achieve a gold star rating for all ")</f>
        <v>Achieve a gold star rating for all </v>
      </c>
    </row>
    <row r="52">
      <c r="A52" s="114" t="str">
        <f>IFERROR(__xludf.DUMMYFUNCTION("""COMPUTED_VALUE"""),"Super Sharp Shield-Maker")</f>
        <v>Super Sharp Shield-Maker</v>
      </c>
      <c r="B52" s="114" t="str">
        <f>IFERROR(__xludf.DUMMYFUNCTION("""COMPUTED_VALUE"""),"Achieve a gold star rating for all shields")</f>
        <v>Achieve a gold star rating for all shields</v>
      </c>
    </row>
    <row r="53">
      <c r="A53" s="115" t="str">
        <f>IFERROR(__xludf.DUMMYFUNCTION("""COMPUTED_VALUE"""),"Grandee of Greatshield-Making")</f>
        <v>Grandee of Greatshield-Making</v>
      </c>
      <c r="B53" s="115" t="str">
        <f>IFERROR(__xludf.DUMMYFUNCTION("""COMPUTED_VALUE"""),"Achieve a gold star rating for all greatshields")</f>
        <v>Achieve a gold star rating for all greatshields</v>
      </c>
    </row>
    <row r="54">
      <c r="A54" s="114" t="str">
        <f>IFERROR(__xludf.DUMMYFUNCTION("""COMPUTED_VALUE"""),"Master Milliner")</f>
        <v>Master Milliner</v>
      </c>
      <c r="B54" s="114" t="str">
        <f>IFERROR(__xludf.DUMMYFUNCTION("""COMPUTED_VALUE"""),"Achieve a gold star rating for all hats")</f>
        <v>Achieve a gold star rating for all hats</v>
      </c>
    </row>
    <row r="55">
      <c r="A55" s="115" t="str">
        <f>IFERROR(__xludf.DUMMYFUNCTION("""COMPUTED_VALUE"""),"Hyper Helmetier")</f>
        <v>Hyper Helmetier</v>
      </c>
      <c r="B55" s="115" t="str">
        <f>IFERROR(__xludf.DUMMYFUNCTION("""COMPUTED_VALUE"""),"Achieve a gold star rating for all helmets")</f>
        <v>Achieve a gold star rating for all helmets</v>
      </c>
    </row>
    <row r="56">
      <c r="A56" s="114" t="str">
        <f>IFERROR(__xludf.DUMMYFUNCTION("""COMPUTED_VALUE"""),"Terrific Tailor")</f>
        <v>Terrific Tailor</v>
      </c>
      <c r="B56" s="114" t="str">
        <f>IFERROR(__xludf.DUMMYFUNCTION("""COMPUTED_VALUE"""),"Achieve a gold star rating for all clothes")</f>
        <v>Achieve a gold star rating for all clothes</v>
      </c>
    </row>
    <row r="57">
      <c r="A57" s="115" t="str">
        <f>IFERROR(__xludf.DUMMYFUNCTION("""COMPUTED_VALUE"""),"Amazing Armourer")</f>
        <v>Amazing Armourer</v>
      </c>
      <c r="B57" s="115" t="str">
        <f>IFERROR(__xludf.DUMMYFUNCTION("""COMPUTED_VALUE"""),"Achieve a gold star rating for all armour")</f>
        <v>Achieve a gold star rating for all armour</v>
      </c>
    </row>
    <row r="58">
      <c r="A58" s="114" t="str">
        <f>IFERROR(__xludf.DUMMYFUNCTION("""COMPUTED_VALUE"""),"Divine Dressmaker")</f>
        <v>Divine Dressmaker</v>
      </c>
      <c r="B58" s="114" t="str">
        <f>IFERROR(__xludf.DUMMYFUNCTION("""COMPUTED_VALUE"""),"Achieve a gold star rating for all robes")</f>
        <v>Achieve a gold star rating for all robes</v>
      </c>
    </row>
    <row r="59">
      <c r="A59" s="231" t="str">
        <f>IFERROR(__xludf.DUMMYFUNCTION("""COMPUTED_VALUE"""),"Master Masker")</f>
        <v>Master Masker</v>
      </c>
      <c r="B59" s="115" t="str">
        <f>IFERROR(__xludf.DUMMYFUNCTION("""COMPUTED_VALUE"""),"Achieve a gold star rating for all masks")</f>
        <v>Achieve a gold star rating for all masks</v>
      </c>
    </row>
    <row r="60">
      <c r="A60" s="114" t="str">
        <f>IFERROR(__xludf.DUMMYFUNCTION("""COMPUTED_VALUE"""),"Pendant Pundit")</f>
        <v>Pendant Pundit</v>
      </c>
      <c r="B60" s="114" t="str">
        <f>IFERROR(__xludf.DUMMYFUNCTION("""COMPUTED_VALUE"""),"Achieve a gold star rating for all necklaces")</f>
        <v>Achieve a gold star rating for all necklaces</v>
      </c>
    </row>
    <row r="61">
      <c r="A61" s="231" t="str">
        <f>IFERROR(__xludf.DUMMYFUNCTION("""COMPUTED_VALUE"""),"Bracelet Boffin")</f>
        <v>Bracelet Boffin</v>
      </c>
      <c r="B61" s="115" t="str">
        <f>IFERROR(__xludf.DUMMYFUNCTION("""COMPUTED_VALUE"""),"Achieve a gold star rating for all bracelets")</f>
        <v>Achieve a gold star rating for all bracelets</v>
      </c>
    </row>
    <row r="62">
      <c r="A62" s="228" t="str">
        <f>IFERROR(__xludf.DUMMYFUNCTION("""COMPUTED_VALUE"""),"Glove Guru")</f>
        <v>Glove Guru</v>
      </c>
      <c r="B62" s="114" t="str">
        <f>IFERROR(__xludf.DUMMYFUNCTION("""COMPUTED_VALUE"""),"Achieve a gold star rating for all gloves")</f>
        <v>Achieve a gold star rating for all gloves</v>
      </c>
    </row>
    <row r="63">
      <c r="A63" s="231" t="str">
        <f>IFERROR(__xludf.DUMMYFUNCTION("""COMPUTED_VALUE"""),"Ringmaster")</f>
        <v>Ringmaster</v>
      </c>
      <c r="B63" s="115" t="str">
        <f>IFERROR(__xludf.DUMMYFUNCTION("""COMPUTED_VALUE"""),"Achieve a gold star rating for all rings")</f>
        <v>Achieve a gold star rating for all rings</v>
      </c>
    </row>
    <row r="64">
      <c r="A64" s="228" t="str">
        <f>IFERROR(__xludf.DUMMYFUNCTION("""COMPUTED_VALUE"""),"Clever Clogs")</f>
        <v>Clever Clogs</v>
      </c>
      <c r="B64" s="114" t="str">
        <f>IFERROR(__xludf.DUMMYFUNCTION("""COMPUTED_VALUE"""),"Achieve a gold star rating for all shoes")</f>
        <v>Achieve a gold star rating for all shoes</v>
      </c>
    </row>
    <row r="65">
      <c r="A65" s="231" t="str">
        <f>IFERROR(__xludf.DUMMYFUNCTION("""COMPUTED_VALUE"""),"Ingenious Accessoriser")</f>
        <v>Ingenious Accessoriser</v>
      </c>
      <c r="B65" s="115" t="str">
        <f>IFERROR(__xludf.DUMMYFUNCTION("""COMPUTED_VALUE"""),"Achieve a gold star rating for all miscellaneous accessories")</f>
        <v>Achieve a gold star rating for all miscellaneous accessories</v>
      </c>
    </row>
    <row r="66">
      <c r="A66" s="114" t="str">
        <f>IFERROR(__xludf.DUMMYFUNCTION("""COMPUTED_VALUE"""),"Master Craftsperson")</f>
        <v>Master Craftsperson</v>
      </c>
      <c r="B66" s="114" t="str">
        <f>IFERROR(__xludf.DUMMYFUNCTION("""COMPUTED_VALUE"""),"Achieve a gold star rating for all items on the Fun-Size Forge")</f>
        <v>Achieve a gold star rating for all items on the Fun-Size Forge</v>
      </c>
    </row>
    <row r="67">
      <c r="A67" s="115" t="str">
        <f>IFERROR(__xludf.DUMMYFUNCTION("""COMPUTED_VALUE"""),"Swordsmith of Light")</f>
        <v>Swordsmith of Light</v>
      </c>
      <c r="B67" s="115" t="str">
        <f>IFERROR(__xludf.DUMMYFUNCTION("""COMPUTED_VALUE"""),"Craft the Supreme Sword of Light")</f>
        <v>Craft the Supreme Sword of Light</v>
      </c>
    </row>
    <row r="68">
      <c r="A68" s="104" t="str">
        <f>IFERROR(__xludf.DUMMYFUNCTION("""COMPUTED_VALUE"""),"Casino (27)")</f>
        <v>Casino (27)</v>
      </c>
      <c r="B68" s="8"/>
    </row>
    <row r="69">
      <c r="A69" s="115" t="str">
        <f>IFERROR(__xludf.DUMMYFUNCTION("""COMPUTED_VALUE"""),"Beginner's Luck")</f>
        <v>Beginner's Luck</v>
      </c>
      <c r="B69" s="115" t="str">
        <f>IFERROR(__xludf.DUMMYFUNCTION("""COMPUTED_VALUE"""),"Amass 100,000 casino tokens")</f>
        <v>Amass 100,000 casino tokens</v>
      </c>
    </row>
    <row r="70">
      <c r="A70" s="114" t="str">
        <f>IFERROR(__xludf.DUMMYFUNCTION("""COMPUTED_VALUE"""),"Lucky Break")</f>
        <v>Lucky Break</v>
      </c>
      <c r="B70" s="114" t="str">
        <f>IFERROR(__xludf.DUMMYFUNCTION("""COMPUTED_VALUE"""),"Amass 500,000 casino tokens")</f>
        <v>Amass 500,000 casino tokens</v>
      </c>
    </row>
    <row r="71">
      <c r="A71" s="115" t="str">
        <f>IFERROR(__xludf.DUMMYFUNCTION("""COMPUTED_VALUE"""),"Luck of the Devil")</f>
        <v>Luck of the Devil</v>
      </c>
      <c r="B71" s="115" t="str">
        <f>IFERROR(__xludf.DUMMYFUNCTION("""COMPUTED_VALUE"""),"Amass 1,000,000 casino tokens")</f>
        <v>Amass 1,000,000 casino tokens</v>
      </c>
    </row>
    <row r="72">
      <c r="A72" s="114" t="str">
        <f>IFERROR(__xludf.DUMMYFUNCTION("""COMPUTED_VALUE"""),"Slime Quest Joker")</f>
        <v>Slime Quest Joker</v>
      </c>
      <c r="B72" s="114" t="str">
        <f>IFERROR(__xludf.DUMMYFUNCTION("""COMPUTED_VALUE"""),"Play Slime Quest (200 times)")</f>
        <v>Play Slime Quest (200 times)</v>
      </c>
    </row>
    <row r="73">
      <c r="A73" s="115" t="str">
        <f>IFERROR(__xludf.DUMMYFUNCTION("""COMPUTED_VALUE"""),"Slime Quest Builder")</f>
        <v>Slime Quest Builder</v>
      </c>
      <c r="B73" s="115" t="str">
        <f>IFERROR(__xludf.DUMMYFUNCTION("""COMPUTED_VALUE"""),"Play Slime Quest (600 times)")</f>
        <v>Play Slime Quest (600 times)</v>
      </c>
    </row>
    <row r="74">
      <c r="A74" s="114" t="str">
        <f>IFERROR(__xludf.DUMMYFUNCTION("""COMPUTED_VALUE"""),"Slime Quest Hero")</f>
        <v>Slime Quest Hero</v>
      </c>
      <c r="B74" s="114" t="str">
        <f>IFERROR(__xludf.DUMMYFUNCTION("""COMPUTED_VALUE"""),"Play Slime Quest (1800 times)")</f>
        <v>Play Slime Quest (1800 times)</v>
      </c>
    </row>
    <row r="75">
      <c r="A75" s="115" t="str">
        <f>IFERROR(__xludf.DUMMYFUNCTION("""COMPUTED_VALUE"""),"Oceans o' Sevens")</f>
        <v>Oceans o' Sevens</v>
      </c>
      <c r="B75" s="115" t="str">
        <f>IFERROR(__xludf.DUMMYFUNCTION("""COMPUTED_VALUE"""),"Line up a complete set of 7s and score a big bonus in Slime Quest")</f>
        <v>Line up a complete set of 7s and score a big bonus in Slime Quest</v>
      </c>
    </row>
    <row r="76">
      <c r="A76" s="114" t="str">
        <f>IFERROR(__xludf.DUMMYFUNCTION("""COMPUTED_VALUE"""),"Seventh Heaven")</f>
        <v>Seventh Heaven</v>
      </c>
      <c r="B76" s="114" t="str">
        <f>IFERROR(__xludf.DUMMYFUNCTION("""COMPUTED_VALUE"""),"Line up a complete set of gold 7s and score a stupendous bonus in Slime Quest")</f>
        <v>Line up a complete set of gold 7s and score a stupendous bonus in Slime Quest</v>
      </c>
    </row>
    <row r="77">
      <c r="A77" s="115" t="str">
        <f>IFERROR(__xludf.DUMMYFUNCTION("""COMPUTED_VALUE"""),"Bouncing Back")</f>
        <v>Bouncing Back</v>
      </c>
      <c r="B77" s="115" t="str">
        <f>IFERROR(__xludf.DUMMYFUNCTION("""COMPUTED_VALUE"""),"Come back from the dead to beat a boss in Slime Quest")</f>
        <v>Come back from the dead to beat a boss in Slime Quest</v>
      </c>
    </row>
    <row r="78">
      <c r="A78" s="114" t="str">
        <f>IFERROR(__xludf.DUMMYFUNCTION("""COMPUTED_VALUE"""),"A King Slime's Ransom")</f>
        <v>A King Slime's Ransom</v>
      </c>
      <c r="B78" s="114" t="str">
        <f>IFERROR(__xludf.DUMMYFUNCTION("""COMPUTED_VALUE"""),"Discover a gold treasure chest in Slime Quest")</f>
        <v>Discover a gold treasure chest in Slime Quest</v>
      </c>
    </row>
    <row r="79">
      <c r="A79" s="115" t="str">
        <f>IFERROR(__xludf.DUMMYFUNCTION("""COMPUTED_VALUE"""),"Goo Goo Goolysses")</f>
        <v>Goo Goo Goolysses</v>
      </c>
      <c r="B79" s="115" t="str">
        <f>IFERROR(__xludf.DUMMYFUNCTION("""COMPUTED_VALUE"""),"Experienced the Freeze in Slime Quest")</f>
        <v>Experienced the Freeze in Slime Quest</v>
      </c>
    </row>
    <row r="80">
      <c r="A80" s="114" t="str">
        <f>IFERROR(__xludf.DUMMYFUNCTION("""COMPUTED_VALUE"""),"Sir Slotsalot")</f>
        <v>Sir Slotsalot</v>
      </c>
      <c r="B80" s="114" t="str">
        <f>IFERROR(__xludf.DUMMYFUNCTION("""COMPUTED_VALUE"""),"Play the slots (40 times)")</f>
        <v>Play the slots (40 times)</v>
      </c>
    </row>
    <row r="81">
      <c r="A81" s="115" t="str">
        <f>IFERROR(__xludf.DUMMYFUNCTION("""COMPUTED_VALUE"""),"Slot Hotshot")</f>
        <v>Slot Hotshot</v>
      </c>
      <c r="B81" s="115" t="str">
        <f>IFERROR(__xludf.DUMMYFUNCTION("""COMPUTED_VALUE"""),"Play the slots (150 times)")</f>
        <v>Play the slots (150 times)</v>
      </c>
    </row>
    <row r="82">
      <c r="A82" s="114" t="str">
        <f>IFERROR(__xludf.DUMMYFUNCTION("""COMPUTED_VALUE"""),"Slots Maniac")</f>
        <v>Slots Maniac</v>
      </c>
      <c r="B82" s="114" t="str">
        <f>IFERROR(__xludf.DUMMYFUNCTION("""COMPUTED_VALUE"""),"Play the slots (500 times)")</f>
        <v>Play the slots (500 times)</v>
      </c>
    </row>
    <row r="83">
      <c r="A83" s="115" t="str">
        <f>IFERROR(__xludf.DUMMYFUNCTION("""COMPUTED_VALUE"""),"All the Sevens")</f>
        <v>All the Sevens</v>
      </c>
      <c r="B83" s="115" t="str">
        <f>IFERROR(__xludf.DUMMYFUNCTION("""COMPUTED_VALUE"""),"Hit 77777 on a slot machine")</f>
        <v>Hit 77777 on a slot machine</v>
      </c>
    </row>
    <row r="84">
      <c r="A84" s="114" t="str">
        <f>IFERROR(__xludf.DUMMYFUNCTION("""COMPUTED_VALUE"""),"Jackpot Slotter")</f>
        <v>Jackpot Slotter</v>
      </c>
      <c r="B84" s="114" t="str">
        <f>IFERROR(__xludf.DUMMYFUNCTION("""COMPUTED_VALUE"""),"Hit the jackpot on a slot machine")</f>
        <v>Hit the jackpot on a slot machine</v>
      </c>
    </row>
    <row r="85">
      <c r="A85" s="115" t="str">
        <f>IFERROR(__xludf.DUMMYFUNCTION("""COMPUTED_VALUE"""),"Pokesperson")</f>
        <v>Pokesperson</v>
      </c>
      <c r="B85" s="115" t="str">
        <f>IFERROR(__xludf.DUMMYFUNCTION("""COMPUTED_VALUE"""),"Play Poker (40 times)")</f>
        <v>Play Poker (40 times)</v>
      </c>
    </row>
    <row r="86">
      <c r="A86" s="114" t="str">
        <f>IFERROR(__xludf.DUMMYFUNCTION("""COMPUTED_VALUE"""),"Jiggery-Pokerer")</f>
        <v>Jiggery-Pokerer</v>
      </c>
      <c r="B86" s="114" t="str">
        <f>IFERROR(__xludf.DUMMYFUNCTION("""COMPUTED_VALUE"""),"Play Poker (120 times)")</f>
        <v>Play Poker (120 times)</v>
      </c>
    </row>
    <row r="87">
      <c r="A87" s="115" t="str">
        <f>IFERROR(__xludf.DUMMYFUNCTION("""COMPUTED_VALUE"""),"Red-Hot Pokerer")</f>
        <v>Red-Hot Pokerer</v>
      </c>
      <c r="B87" s="115" t="str">
        <f>IFERROR(__xludf.DUMMYFUNCTION("""COMPUTED_VALUE"""),"Play Poker (360 times)")</f>
        <v>Play Poker (360 times)</v>
      </c>
    </row>
    <row r="88">
      <c r="A88" s="114" t="str">
        <f>IFERROR(__xludf.DUMMYFUNCTION("""COMPUTED_VALUE"""),"Fresh Squish Flush!")</f>
        <v>Fresh Squish Flush!</v>
      </c>
      <c r="B88" s="114" t="str">
        <f>IFERROR(__xludf.DUMMYFUNCTION("""COMPUTED_VALUE"""),"Get a Royal Jelly Flush in Poker")</f>
        <v>Get a Royal Jelly Flush in Poker</v>
      </c>
    </row>
    <row r="89">
      <c r="A89" s="115" t="str">
        <f>IFERROR(__xludf.DUMMYFUNCTION("""COMPUTED_VALUE"""),"Poker Streaker")</f>
        <v>Poker Streaker</v>
      </c>
      <c r="B89" s="115" t="str">
        <f>IFERROR(__xludf.DUMMYFUNCTION("""COMPUTED_VALUE"""),"Win 10 consecutive times at Double or Nothing")</f>
        <v>Win 10 consecutive times at Double or Nothing</v>
      </c>
    </row>
    <row r="90">
      <c r="A90" s="114" t="str">
        <f>IFERROR(__xludf.DUMMYFUNCTION("""COMPUTED_VALUE"""),"Wheely Keen")</f>
        <v>Wheely Keen</v>
      </c>
      <c r="B90" s="114" t="str">
        <f>IFERROR(__xludf.DUMMYFUNCTION("""COMPUTED_VALUE"""),"Play Roulette (15 times)")</f>
        <v>Play Roulette (15 times)</v>
      </c>
    </row>
    <row r="91">
      <c r="A91" s="115" t="str">
        <f>IFERROR(__xludf.DUMMYFUNCTION("""COMPUTED_VALUE"""),"Wheely Getting Into It")</f>
        <v>Wheely Getting Into It</v>
      </c>
      <c r="B91" s="115" t="str">
        <f>IFERROR(__xludf.DUMMYFUNCTION("""COMPUTED_VALUE"""),"Play Roulette (40 times)")</f>
        <v>Play Roulette (40 times)</v>
      </c>
    </row>
    <row r="92">
      <c r="A92" s="114" t="str">
        <f>IFERROR(__xludf.DUMMYFUNCTION("""COMPUTED_VALUE"""),"Wheely Amazing")</f>
        <v>Wheely Amazing</v>
      </c>
      <c r="B92" s="114" t="str">
        <f>IFERROR(__xludf.DUMMYFUNCTION("""COMPUTED_VALUE"""),"Play Roulette (120 times)")</f>
        <v>Play Roulette (120 times)</v>
      </c>
    </row>
    <row r="93">
      <c r="A93" s="115" t="str">
        <f>IFERROR(__xludf.DUMMYFUNCTION("""COMPUTED_VALUE"""),"The Wheel McCoy")</f>
        <v>The Wheel McCoy</v>
      </c>
      <c r="B93" s="115" t="str">
        <f>IFERROR(__xludf.DUMMYFUNCTION("""COMPUTED_VALUE"""),"Hit the jackpot at roulette")</f>
        <v>Hit the jackpot at roulette</v>
      </c>
    </row>
    <row r="94">
      <c r="A94" s="114" t="str">
        <f>IFERROR(__xludf.DUMMYFUNCTION("""COMPUTED_VALUE"""),"Blessed With the Chest")</f>
        <v>Blessed With the Chest</v>
      </c>
      <c r="B94" s="114" t="str">
        <f>IFERROR(__xludf.DUMMYFUNCTION("""COMPUTED_VALUE"""),"Hit the treasure at roulette")</f>
        <v>Hit the treasure at roulette</v>
      </c>
    </row>
    <row r="95">
      <c r="A95" s="115" t="str">
        <f>IFERROR(__xludf.DUMMYFUNCTION("""COMPUTED_VALUE"""),"Casino Connoisseur")</f>
        <v>Casino Connoisseur</v>
      </c>
      <c r="B95" s="115" t="str">
        <f>IFERROR(__xludf.DUMMYFUNCTION("""COMPUTED_VALUE"""),"Attain 10 Casino Accolades")</f>
        <v>Attain 10 Casino Accolades</v>
      </c>
    </row>
    <row r="96">
      <c r="A96" s="104" t="str">
        <f>IFERROR(__xludf.DUMMYFUNCTION("""COMPUTED_VALUE"""),"Items (25)")</f>
        <v>Items (25)</v>
      </c>
      <c r="B96" s="8"/>
    </row>
    <row r="97">
      <c r="A97" s="115" t="str">
        <f>IFERROR(__xludf.DUMMYFUNCTION("""COMPUTED_VALUE"""),"Amateur Itemologist")</f>
        <v>Amateur Itemologist</v>
      </c>
      <c r="B97" s="115" t="str">
        <f>IFERROR(__xludf.DUMMYFUNCTION("""COMPUTED_VALUE"""),"Collect 10 different types of items")</f>
        <v>Collect 10 different types of items</v>
      </c>
    </row>
    <row r="98">
      <c r="A98" s="114" t="str">
        <f>IFERROR(__xludf.DUMMYFUNCTION("""COMPUTED_VALUE"""),"Avid Itemologist")</f>
        <v>Avid Itemologist</v>
      </c>
      <c r="B98" s="114" t="str">
        <f>IFERROR(__xludf.DUMMYFUNCTION("""COMPUTED_VALUE"""),"Collect 100 different types of items")</f>
        <v>Collect 100 different types of items</v>
      </c>
    </row>
    <row r="99">
      <c r="A99" s="115" t="str">
        <f>IFERROR(__xludf.DUMMYFUNCTION("""COMPUTED_VALUE"""),"Accomplished Itemologist")</f>
        <v>Accomplished Itemologist</v>
      </c>
      <c r="B99" s="115" t="str">
        <f>IFERROR(__xludf.DUMMYFUNCTION("""COMPUTED_VALUE"""),"Collect 250 different types of items")</f>
        <v>Collect 250 different types of items</v>
      </c>
    </row>
    <row r="100">
      <c r="A100" s="114" t="str">
        <f>IFERROR(__xludf.DUMMYFUNCTION("""COMPUTED_VALUE"""),"Expert Itemologist")</f>
        <v>Expert Itemologist</v>
      </c>
      <c r="B100" s="114" t="str">
        <f>IFERROR(__xludf.DUMMYFUNCTION("""COMPUTED_VALUE"""),"Collect 500 different types of items")</f>
        <v>Collect 500 different types of items</v>
      </c>
    </row>
    <row r="101">
      <c r="A101" s="115" t="str">
        <f>IFERROR(__xludf.DUMMYFUNCTION("""COMPUTED_VALUE"""),"Ultimate Itemologist")</f>
        <v>Ultimate Itemologist</v>
      </c>
      <c r="B101" s="115" t="str">
        <f>IFERROR(__xludf.DUMMYFUNCTION("""COMPUTED_VALUE"""),"Collect 900 different types of items")</f>
        <v>Collect 900 different types of items</v>
      </c>
    </row>
    <row r="102">
      <c r="A102" s="114" t="str">
        <f>IFERROR(__xludf.DUMMYFUNCTION("""COMPUTED_VALUE"""),"Luminary a la Mode")</f>
        <v>Luminary a la Mode</v>
      </c>
      <c r="B102" s="114" t="str">
        <f>IFERROR(__xludf.DUMMYFUNCTION("""COMPUTED_VALUE"""),"Collect all of the Luminary's costumes")</f>
        <v>Collect all of the Luminary's costumes</v>
      </c>
    </row>
    <row r="103">
      <c r="A103" s="115" t="str">
        <f>IFERROR(__xludf.DUMMYFUNCTION("""COMPUTED_VALUE"""),"Handsome Rogue")</f>
        <v>Handsome Rogue</v>
      </c>
      <c r="B103" s="115" t="str">
        <f>IFERROR(__xludf.DUMMYFUNCTION("""COMPUTED_VALUE"""),"Collect all of Erik's costumes")</f>
        <v>Collect all of Erik's costumes</v>
      </c>
    </row>
    <row r="104">
      <c r="A104" s="114" t="str">
        <f>IFERROR(__xludf.DUMMYFUNCTION("""COMPUTED_VALUE"""),"Little Sister Fashionista")</f>
        <v>Little Sister Fashionista</v>
      </c>
      <c r="B104" s="114" t="str">
        <f>IFERROR(__xludf.DUMMYFUNCTION("""COMPUTED_VALUE"""),"Collect all of Veronica's costumes")</f>
        <v>Collect all of Veronica's costumes</v>
      </c>
    </row>
    <row r="105">
      <c r="A105" s="115" t="str">
        <f>IFERROR(__xludf.DUMMYFUNCTION("""COMPUTED_VALUE"""),"The Hippest Harpist")</f>
        <v>The Hippest Harpist</v>
      </c>
      <c r="B105" s="115" t="str">
        <f>IFERROR(__xludf.DUMMYFUNCTION("""COMPUTED_VALUE"""),"Collect all of Serena's costumes")</f>
        <v>Collect all of Serena's costumes</v>
      </c>
    </row>
    <row r="106">
      <c r="A106" s="114" t="str">
        <f>IFERROR(__xludf.DUMMYFUNCTION("""COMPUTED_VALUE"""),"Dressed to Kill")</f>
        <v>Dressed to Kill</v>
      </c>
      <c r="B106" s="114" t="str">
        <f>IFERROR(__xludf.DUMMYFUNCTION("""COMPUTED_VALUE"""),"Collect all of Sylvando's costumes")</f>
        <v>Collect all of Sylvando's costumes</v>
      </c>
    </row>
    <row r="107">
      <c r="A107" s="115" t="str">
        <f>IFERROR(__xludf.DUMMYFUNCTION("""COMPUTED_VALUE"""),"Slinky Mink")</f>
        <v>Slinky Mink</v>
      </c>
      <c r="B107" s="115" t="str">
        <f>IFERROR(__xludf.DUMMYFUNCTION("""COMPUTED_VALUE"""),"Collect all of Jade's costumes")</f>
        <v>Collect all of Jade's costumes</v>
      </c>
    </row>
    <row r="108">
      <c r="A108" s="114" t="str">
        <f>IFERROR(__xludf.DUMMYFUNCTION("""COMPUTED_VALUE"""),"Still Got It")</f>
        <v>Still Got It</v>
      </c>
      <c r="B108" s="114" t="str">
        <f>IFERROR(__xludf.DUMMYFUNCTION("""COMPUTED_VALUE"""),"Collect all of Rab's costumes")</f>
        <v>Collect all of Rab's costumes</v>
      </c>
    </row>
    <row r="109">
      <c r="A109" s="115" t="str">
        <f>IFERROR(__xludf.DUMMYFUNCTION("""COMPUTED_VALUE"""),"Knight-About-Town")</f>
        <v>Knight-About-Town</v>
      </c>
      <c r="B109" s="115" t="str">
        <f>IFERROR(__xludf.DUMMYFUNCTION("""COMPUTED_VALUE"""),"Collect all of Eight's costumes")</f>
        <v>Collect all of Eight's costumes</v>
      </c>
    </row>
    <row r="110">
      <c r="A110" s="114" t="str">
        <f>IFERROR(__xludf.DUMMYFUNCTION("""COMPUTED_VALUE"""),"Dedicated Follower of Fashion")</f>
        <v>Dedicated Follower of Fashion</v>
      </c>
      <c r="B110" s="114" t="str">
        <f>IFERROR(__xludf.DUMMYFUNCTION("""COMPUTED_VALUE"""),"Collected all of the costumes for each character")</f>
        <v>Collected all of the costumes for each character</v>
      </c>
    </row>
    <row r="111">
      <c r="A111" s="115" t="str">
        <f>IFERROR(__xludf.DUMMYFUNCTION("""COMPUTED_VALUE"""),"Herbalist")</f>
        <v>Herbalist</v>
      </c>
      <c r="B111" s="115" t="str">
        <f>IFERROR(__xludf.DUMMYFUNCTION("""COMPUTED_VALUE"""),"Use herbal items 20 times")</f>
        <v>Use herbal items 20 times</v>
      </c>
    </row>
    <row r="112">
      <c r="A112" s="114" t="str">
        <f>IFERROR(__xludf.DUMMYFUNCTION("""COMPUTED_VALUE"""),"Pharmacist")</f>
        <v>Pharmacist</v>
      </c>
      <c r="B112" s="114" t="str">
        <f>IFERROR(__xludf.DUMMYFUNCTION("""COMPUTED_VALUE"""),"Use herbal items 50 times")</f>
        <v>Use herbal items 50 times</v>
      </c>
    </row>
    <row r="113">
      <c r="A113" s="115" t="str">
        <f>IFERROR(__xludf.DUMMYFUNCTION("""COMPUTED_VALUE"""),"Apothecary")</f>
        <v>Apothecary</v>
      </c>
      <c r="B113" s="115" t="str">
        <f>IFERROR(__xludf.DUMMYFUNCTION("""COMPUTED_VALUE"""),"Use herbal items 100 times")</f>
        <v>Use herbal items 100 times</v>
      </c>
    </row>
    <row r="114">
      <c r="A114" s="114" t="str">
        <f>IFERROR(__xludf.DUMMYFUNCTION("""COMPUTED_VALUE"""),"Phytotherapist")</f>
        <v>Phytotherapist</v>
      </c>
      <c r="B114" s="114" t="str">
        <f>IFERROR(__xludf.DUMMYFUNCTION("""COMPUTED_VALUE"""),"Use herbal items 200 times")</f>
        <v>Use herbal items 200 times</v>
      </c>
    </row>
    <row r="115">
      <c r="A115" s="115" t="str">
        <f>IFERROR(__xludf.DUMMYFUNCTION("""COMPUTED_VALUE"""),"Hall Monitor de Medailles")</f>
        <v>Hall Monitor de Medailles</v>
      </c>
      <c r="B115" s="115" t="str">
        <f>IFERROR(__xludf.DUMMYFUNCTION("""COMPUTED_VALUE"""),"Complete the first page of your album de medailles")</f>
        <v>Complete the first page of your album de medailles</v>
      </c>
    </row>
    <row r="116">
      <c r="A116" s="114" t="str">
        <f>IFERROR(__xludf.DUMMYFUNCTION("""COMPUTED_VALUE"""),"Prefect de Medailles")</f>
        <v>Prefect de Medailles</v>
      </c>
      <c r="B116" s="114" t="str">
        <f>IFERROR(__xludf.DUMMYFUNCTION("""COMPUTED_VALUE"""),"Complete the second page of your album de medailles")</f>
        <v>Complete the second page of your album de medailles</v>
      </c>
    </row>
    <row r="117">
      <c r="A117" s="115" t="str">
        <f>IFERROR(__xludf.DUMMYFUNCTION("""COMPUTED_VALUE"""),"Chef de Classes de Medailles")</f>
        <v>Chef de Classes de Medailles</v>
      </c>
      <c r="B117" s="115" t="str">
        <f>IFERROR(__xludf.DUMMYFUNCTION("""COMPUTED_VALUE"""),"Complete the third page of your album de medailles")</f>
        <v>Complete the third page of your album de medailles</v>
      </c>
    </row>
    <row r="118">
      <c r="A118" s="114" t="str">
        <f>IFERROR(__xludf.DUMMYFUNCTION("""COMPUTED_VALUE"""),"School Captain de Medailles")</f>
        <v>School Captain de Medailles</v>
      </c>
      <c r="B118" s="114" t="str">
        <f>IFERROR(__xludf.DUMMYFUNCTION("""COMPUTED_VALUE"""),"Complete the fourth page of your album de medailles")</f>
        <v>Complete the fourth page of your album de medailles</v>
      </c>
    </row>
    <row r="119">
      <c r="A119" s="115" t="str">
        <f>IFERROR(__xludf.DUMMYFUNCTION("""COMPUTED_VALUE"""),"Bronze Medalist")</f>
        <v>Bronze Medalist</v>
      </c>
      <c r="B119" s="115" t="str">
        <f>IFERROR(__xludf.DUMMYFUNCTION("""COMPUTED_VALUE"""),"Gather lots of mini medals (10)")</f>
        <v>Gather lots of mini medals (10)</v>
      </c>
    </row>
    <row r="120">
      <c r="A120" s="114" t="str">
        <f>IFERROR(__xludf.DUMMYFUNCTION("""COMPUTED_VALUE"""),"Silver Medalist")</f>
        <v>Silver Medalist</v>
      </c>
      <c r="B120" s="114" t="str">
        <f>IFERROR(__xludf.DUMMYFUNCTION("""COMPUTED_VALUE"""),"Gather lots of mini medals (50)")</f>
        <v>Gather lots of mini medals (50)</v>
      </c>
    </row>
    <row r="121">
      <c r="A121" s="115" t="str">
        <f>IFERROR(__xludf.DUMMYFUNCTION("""COMPUTED_VALUE"""),"Gold Medalist")</f>
        <v>Gold Medalist</v>
      </c>
      <c r="B121" s="115" t="str">
        <f>IFERROR(__xludf.DUMMYFUNCTION("""COMPUTED_VALUE"""),"Gather lots of mini medals (110)")</f>
        <v>Gather lots of mini medals (110)</v>
      </c>
    </row>
    <row r="122">
      <c r="A122" s="104" t="str">
        <f>IFERROR(__xludf.DUMMYFUNCTION("""COMPUTED_VALUE"""),"Other (112)")</f>
        <v>Other (112)</v>
      </c>
      <c r="B122" s="8"/>
    </row>
    <row r="123">
      <c r="A123" s="115" t="str">
        <f>IFERROR(__xludf.DUMMYFUNCTION("""COMPUTED_VALUE"""),"Accolades Ahoy!")</f>
        <v>Accolades Ahoy!</v>
      </c>
      <c r="B123" s="115" t="str">
        <f>IFERROR(__xludf.DUMMYFUNCTION("""COMPUTED_VALUE"""),"Acquire 10 Accolades")</f>
        <v>Acquire 10 Accolades</v>
      </c>
    </row>
    <row r="124">
      <c r="A124" s="114" t="str">
        <f>IFERROR(__xludf.DUMMYFUNCTION("""COMPUTED_VALUE"""),"Accolade Accumulator")</f>
        <v>Accolade Accumulator</v>
      </c>
      <c r="B124" s="114" t="str">
        <f>IFERROR(__xludf.DUMMYFUNCTION("""COMPUTED_VALUE"""),"Acquire 50 Accolades")</f>
        <v>Acquire 50 Accolades</v>
      </c>
    </row>
    <row r="125">
      <c r="A125" s="115" t="str">
        <f>IFERROR(__xludf.DUMMYFUNCTION("""COMPUTED_VALUE"""),"Accolade-Laden")</f>
        <v>Accolade-Laden</v>
      </c>
      <c r="B125" s="115" t="str">
        <f>IFERROR(__xludf.DUMMYFUNCTION("""COMPUTED_VALUE"""),"Acquire 100 Accolades")</f>
        <v>Acquire 100 Accolades</v>
      </c>
    </row>
    <row r="126">
      <c r="A126" s="114" t="str">
        <f>IFERROR(__xludf.DUMMYFUNCTION("""COMPUTED_VALUE"""),"Stackolades of Accolades")</f>
        <v>Stackolades of Accolades</v>
      </c>
      <c r="B126" s="114" t="str">
        <f>IFERROR(__xludf.DUMMYFUNCTION("""COMPUTED_VALUE"""),"Acquire 150 Accolades")</f>
        <v>Acquire 150 Accolades</v>
      </c>
    </row>
    <row r="127">
      <c r="A127" s="115" t="str">
        <f>IFERROR(__xludf.DUMMYFUNCTION("""COMPUTED_VALUE"""),"Made of Accolades")</f>
        <v>Made of Accolades</v>
      </c>
      <c r="B127" s="115" t="str">
        <f>IFERROR(__xludf.DUMMYFUNCTION("""COMPUTED_VALUE"""),"Acquire 200 Accolades")</f>
        <v>Acquire 200 Accolades</v>
      </c>
    </row>
    <row r="128">
      <c r="A128" s="114" t="str">
        <f>IFERROR(__xludf.DUMMYFUNCTION("""COMPUTED_VALUE"""),"???")</f>
        <v>???</v>
      </c>
      <c r="B128" s="114" t="str">
        <f>IFERROR(__xludf.DUMMYFUNCTION("""COMPUTED_VALUE"""),"Acquire 252 Accolades")</f>
        <v>Acquire 252 Accolades</v>
      </c>
    </row>
    <row r="129">
      <c r="A129" s="115" t="str">
        <f>IFERROR(__xludf.DUMMYFUNCTION("""COMPUTED_VALUE"""),"Rough Rider")</f>
        <v>Rough Rider</v>
      </c>
      <c r="B129" s="115" t="str">
        <f>IFERROR(__xludf.DUMMYFUNCTION("""COMPUTED_VALUE"""),"Send 20 monsters flying while riding a mount")</f>
        <v>Send 20 monsters flying while riding a mount</v>
      </c>
    </row>
    <row r="130">
      <c r="A130" s="114" t="str">
        <f>IFERROR(__xludf.DUMMYFUNCTION("""COMPUTED_VALUE"""),"Toppletrotter")</f>
        <v>Toppletrotter</v>
      </c>
      <c r="B130" s="114" t="str">
        <f>IFERROR(__xludf.DUMMYFUNCTION("""COMPUTED_VALUE"""),"Send 100 monsters flying while riding a mount")</f>
        <v>Send 100 monsters flying while riding a mount</v>
      </c>
    </row>
    <row r="131">
      <c r="A131" s="115" t="str">
        <f>IFERROR(__xludf.DUMMYFUNCTION("""COMPUTED_VALUE"""),"Canter-Attacker")</f>
        <v>Canter-Attacker</v>
      </c>
      <c r="B131" s="115" t="str">
        <f>IFERROR(__xludf.DUMMYFUNCTION("""COMPUTED_VALUE"""),"Send 150 monsters flying while riding a mount")</f>
        <v>Send 150 monsters flying while riding a mount</v>
      </c>
    </row>
    <row r="132">
      <c r="A132" s="114" t="str">
        <f>IFERROR(__xludf.DUMMYFUNCTION("""COMPUTED_VALUE"""),"Gallopowlitan")</f>
        <v>Gallopowlitan</v>
      </c>
      <c r="B132" s="114" t="str">
        <f>IFERROR(__xludf.DUMMYFUNCTION("""COMPUTED_VALUE"""),"Send 300 monsters flying while riding a mount")</f>
        <v>Send 300 monsters flying while riding a mount</v>
      </c>
    </row>
    <row r="133">
      <c r="A133" s="115" t="str">
        <f>IFERROR(__xludf.DUMMYFUNCTION("""COMPUTED_VALUE"""),"Mount Olympian")</f>
        <v>Mount Olympian</v>
      </c>
      <c r="B133" s="115" t="str">
        <f>IFERROR(__xludf.DUMMYFUNCTION("""COMPUTED_VALUE"""),"Ride all mountable monsters")</f>
        <v>Ride all mountable monsters</v>
      </c>
    </row>
    <row r="134">
      <c r="A134" s="114" t="str">
        <f>IFERROR(__xludf.DUMMYFUNCTION("""COMPUTED_VALUE"""),"Something for a Rainy Day")</f>
        <v>Something for a Rainy Day</v>
      </c>
      <c r="B134" s="114" t="str">
        <f>IFERROR(__xludf.DUMMYFUNCTION("""COMPUTED_VALUE"""),"Store 10000 gold at the bank")</f>
        <v>Store 10000 gold at the bank</v>
      </c>
    </row>
    <row r="135">
      <c r="A135" s="115" t="str">
        <f>IFERROR(__xludf.DUMMYFUNCTION("""COMPUTED_VALUE"""),"A Wodge for a Rainy Week")</f>
        <v>A Wodge for a Rainy Week</v>
      </c>
      <c r="B135" s="115" t="str">
        <f>IFERROR(__xludf.DUMMYFUNCTION("""COMPUTED_VALUE"""),"Store 25000 gold at the bank")</f>
        <v>Store 25000 gold at the bank</v>
      </c>
    </row>
    <row r="136">
      <c r="A136" s="114" t="str">
        <f>IFERROR(__xludf.DUMMYFUNCTION("""COMPUTED_VALUE"""),"Means for a Rainy Month")</f>
        <v>Means for a Rainy Month</v>
      </c>
      <c r="B136" s="114" t="str">
        <f>IFERROR(__xludf.DUMMYFUNCTION("""COMPUTED_VALUE"""),"Store 50000 gold at the bank")</f>
        <v>Store 50000 gold at the bank</v>
      </c>
    </row>
    <row r="137">
      <c r="A137" s="115" t="str">
        <f>IFERROR(__xludf.DUMMYFUNCTION("""COMPUTED_VALUE"""),"Riches for a Rainy Year")</f>
        <v>Riches for a Rainy Year</v>
      </c>
      <c r="B137" s="115" t="str">
        <f>IFERROR(__xludf.DUMMYFUNCTION("""COMPUTED_VALUE"""),"Store 75000 gold at the bank")</f>
        <v>Store 75000 gold at the bank</v>
      </c>
    </row>
    <row r="138">
      <c r="A138" s="114" t="str">
        <f>IFERROR(__xludf.DUMMYFUNCTION("""COMPUTED_VALUE"""),"Stacks for a Rainy Century")</f>
        <v>Stacks for a Rainy Century</v>
      </c>
      <c r="B138" s="114" t="str">
        <f>IFERROR(__xludf.DUMMYFUNCTION("""COMPUTED_VALUE"""),"Store 100000 gold at the bank")</f>
        <v>Store 100000 gold at the bank</v>
      </c>
    </row>
    <row r="139">
      <c r="A139" s="115" t="str">
        <f>IFERROR(__xludf.DUMMYFUNCTION("""COMPUTED_VALUE"""),"Breadwinner")</f>
        <v>Breadwinner</v>
      </c>
      <c r="B139" s="115" t="str">
        <f>IFERROR(__xludf.DUMMYFUNCTION("""COMPUTED_VALUE"""),"Acquire a total of 5000 gold")</f>
        <v>Acquire a total of 5000 gold</v>
      </c>
    </row>
    <row r="140">
      <c r="A140" s="114" t="str">
        <f>IFERROR(__xludf.DUMMYFUNCTION("""COMPUTED_VALUE"""),"Moneymaker")</f>
        <v>Moneymaker</v>
      </c>
      <c r="B140" s="114" t="str">
        <f>IFERROR(__xludf.DUMMYFUNCTION("""COMPUTED_VALUE"""),"Acquire a total of 25000 gold")</f>
        <v>Acquire a total of 25000 gold</v>
      </c>
    </row>
    <row r="141">
      <c r="A141" s="115" t="str">
        <f>IFERROR(__xludf.DUMMYFUNCTION("""COMPUTED_VALUE"""),"Cash Magnet")</f>
        <v>Cash Magnet</v>
      </c>
      <c r="B141" s="115" t="str">
        <f>IFERROR(__xludf.DUMMYFUNCTION("""COMPUTED_VALUE"""),"Acquire a total of 50000 gold")</f>
        <v>Acquire a total of 50000 gold</v>
      </c>
    </row>
    <row r="142">
      <c r="A142" s="114" t="str">
        <f>IFERROR(__xludf.DUMMYFUNCTION("""COMPUTED_VALUE"""),"Big Earner")</f>
        <v>Big Earner</v>
      </c>
      <c r="B142" s="114" t="str">
        <f>IFERROR(__xludf.DUMMYFUNCTION("""COMPUTED_VALUE"""),"Acquire a total of 100000 gold")</f>
        <v>Acquire a total of 100000 gold</v>
      </c>
    </row>
    <row r="143">
      <c r="A143" s="115" t="str">
        <f>IFERROR(__xludf.DUMMYFUNCTION("""COMPUTED_VALUE"""),"Gold Miner")</f>
        <v>Gold Miner</v>
      </c>
      <c r="B143" s="115" t="str">
        <f>IFERROR(__xludf.DUMMYFUNCTION("""COMPUTED_VALUE"""),"Acquire a total of 300000 gold")</f>
        <v>Acquire a total of 300000 gold</v>
      </c>
    </row>
    <row r="144">
      <c r="A144" s="114" t="str">
        <f>IFERROR(__xludf.DUMMYFUNCTION("""COMPUTED_VALUE"""),"Cash Rich")</f>
        <v>Cash Rich</v>
      </c>
      <c r="B144" s="114" t="str">
        <f>IFERROR(__xludf.DUMMYFUNCTION("""COMPUTED_VALUE"""),"Have 30000 gold on your person at once")</f>
        <v>Have 30000 gold on your person at once</v>
      </c>
    </row>
    <row r="145">
      <c r="A145" s="115" t="str">
        <f>IFERROR(__xludf.DUMMYFUNCTION("""COMPUTED_VALUE"""),"Highly Liquid")</f>
        <v>Highly Liquid</v>
      </c>
      <c r="B145" s="115" t="str">
        <f>IFERROR(__xludf.DUMMYFUNCTION("""COMPUTED_VALUE"""),"Have 50000 gold on your person at once")</f>
        <v>Have 50000 gold on your person at once</v>
      </c>
    </row>
    <row r="146">
      <c r="A146" s="114" t="str">
        <f>IFERROR(__xludf.DUMMYFUNCTION("""COMPUTED_VALUE"""),"Rolling in It")</f>
        <v>Rolling in It</v>
      </c>
      <c r="B146" s="114" t="str">
        <f>IFERROR(__xludf.DUMMYFUNCTION("""COMPUTED_VALUE"""),"Have 100000 gold on your person at once")</f>
        <v>Have 100000 gold on your person at once</v>
      </c>
    </row>
    <row r="147">
      <c r="A147" s="115" t="str">
        <f>IFERROR(__xludf.DUMMYFUNCTION("""COMPUTED_VALUE"""),"Big Spender")</f>
        <v>Big Spender</v>
      </c>
      <c r="B147" s="115" t="str">
        <f>IFERROR(__xludf.DUMMYFUNCTION("""COMPUTED_VALUE"""),"Spend 2000 gold at once")</f>
        <v>Spend 2000 gold at once</v>
      </c>
    </row>
    <row r="148">
      <c r="A148" s="114" t="str">
        <f>IFERROR(__xludf.DUMMYFUNCTION("""COMPUTED_VALUE"""),"Bigger Spender")</f>
        <v>Bigger Spender</v>
      </c>
      <c r="B148" s="114" t="str">
        <f>IFERROR(__xludf.DUMMYFUNCTION("""COMPUTED_VALUE"""),"Spend 10000 gold at once")</f>
        <v>Spend 10000 gold at once</v>
      </c>
    </row>
    <row r="149">
      <c r="A149" s="115" t="str">
        <f>IFERROR(__xludf.DUMMYFUNCTION("""COMPUTED_VALUE"""),"Biggest Spender")</f>
        <v>Biggest Spender</v>
      </c>
      <c r="B149" s="115" t="str">
        <f>IFERROR(__xludf.DUMMYFUNCTION("""COMPUTED_VALUE"""),"Spend 50000 gold at once")</f>
        <v>Spend 50000 gold at once</v>
      </c>
    </row>
    <row r="150">
      <c r="A150" s="114" t="str">
        <f>IFERROR(__xludf.DUMMYFUNCTION("""COMPUTED_VALUE"""),"Next-Level Luminary")</f>
        <v>Next-Level Luminary</v>
      </c>
      <c r="B150" s="114" t="str">
        <f>IFERROR(__xludf.DUMMYFUNCTION("""COMPUTED_VALUE"""),"Reached level 99 with the Luminary")</f>
        <v>Reached level 99 with the Luminary</v>
      </c>
    </row>
    <row r="151">
      <c r="A151" s="115" t="str">
        <f>IFERROR(__xludf.DUMMYFUNCTION("""COMPUTED_VALUE"""),"Master Thief")</f>
        <v>Master Thief</v>
      </c>
      <c r="B151" s="115" t="str">
        <f>IFERROR(__xludf.DUMMYFUNCTION("""COMPUTED_VALUE"""),"Reached level 99 with Erik")</f>
        <v>Reached level 99 with Erik</v>
      </c>
    </row>
    <row r="152">
      <c r="A152" s="114" t="str">
        <f>IFERROR(__xludf.DUMMYFUNCTION("""COMPUTED_VALUE"""),"Flawless Sorceress")</f>
        <v>Flawless Sorceress</v>
      </c>
      <c r="B152" s="114" t="str">
        <f>IFERROR(__xludf.DUMMYFUNCTION("""COMPUTED_VALUE"""),"Reached level 99 with Veronica")</f>
        <v>Reached level 99 with Veronica</v>
      </c>
    </row>
    <row r="153">
      <c r="A153" s="115" t="str">
        <f>IFERROR(__xludf.DUMMYFUNCTION("""COMPUTED_VALUE"""),"Virtuoso Healer")</f>
        <v>Virtuoso Healer</v>
      </c>
      <c r="B153" s="115" t="str">
        <f>IFERROR(__xludf.DUMMYFUNCTION("""COMPUTED_VALUE"""),"Reached level 99 with Serena")</f>
        <v>Reached level 99 with Serena</v>
      </c>
    </row>
    <row r="154">
      <c r="A154" s="114" t="str">
        <f>IFERROR(__xludf.DUMMYFUNCTION("""COMPUTED_VALUE"""),"Megastar")</f>
        <v>Megastar</v>
      </c>
      <c r="B154" s="114" t="str">
        <f>IFERROR(__xludf.DUMMYFUNCTION("""COMPUTED_VALUE"""),"Reached level 99 with Sylvando")</f>
        <v>Reached level 99 with Sylvando</v>
      </c>
    </row>
    <row r="155">
      <c r="A155" s="115" t="str">
        <f>IFERROR(__xludf.DUMMYFUNCTION("""COMPUTED_VALUE"""),"Venerable Elder")</f>
        <v>Venerable Elder</v>
      </c>
      <c r="B155" s="115" t="str">
        <f>IFERROR(__xludf.DUMMYFUNCTION("""COMPUTED_VALUE"""),"Reached level 99 with Rab")</f>
        <v>Reached level 99 with Rab</v>
      </c>
    </row>
    <row r="156">
      <c r="A156" s="114" t="str">
        <f>IFERROR(__xludf.DUMMYFUNCTION("""COMPUTED_VALUE"""),"Undisputed Champion")</f>
        <v>Undisputed Champion</v>
      </c>
      <c r="B156" s="114" t="str">
        <f>IFERROR(__xludf.DUMMYFUNCTION("""COMPUTED_VALUE"""),"Reached level 99 with Jade")</f>
        <v>Reached level 99 with Jade</v>
      </c>
    </row>
    <row r="157">
      <c r="A157" s="115" t="str">
        <f>IFERROR(__xludf.DUMMYFUNCTION("""COMPUTED_VALUE"""),"Knight Exemplar")</f>
        <v>Knight Exemplar</v>
      </c>
      <c r="B157" s="115" t="str">
        <f>IFERROR(__xludf.DUMMYFUNCTION("""COMPUTED_VALUE"""),"Reached level 99 with Eight")</f>
        <v>Reached level 99 with Eight</v>
      </c>
    </row>
    <row r="158">
      <c r="A158" s="114" t="str">
        <f>IFERROR(__xludf.DUMMYFUNCTION("""COMPUTED_VALUE"""),"Preliminary Luminary")</f>
        <v>Preliminary Luminary</v>
      </c>
      <c r="B158" s="114" t="str">
        <f>IFERROR(__xludf.DUMMYFUNCTION("""COMPUTED_VALUE"""),"Activate 10 of the hero's skill panels")</f>
        <v>Activate 10 of the hero's skill panels</v>
      </c>
    </row>
    <row r="159">
      <c r="A159" s="115" t="str">
        <f>IFERROR(__xludf.DUMMYFUNCTION("""COMPUTED_VALUE"""),"Probationary Luminary")</f>
        <v>Probationary Luminary</v>
      </c>
      <c r="B159" s="115" t="str">
        <f>IFERROR(__xludf.DUMMYFUNCTION("""COMPUTED_VALUE"""),"Activate 20 of the hero's skill panels")</f>
        <v>Activate 20 of the hero's skill panels</v>
      </c>
    </row>
    <row r="160">
      <c r="A160" s="114" t="str">
        <f>IFERROR(__xludf.DUMMYFUNCTION("""COMPUTED_VALUE"""),"Ordinary Luminary")</f>
        <v>Ordinary Luminary</v>
      </c>
      <c r="B160" s="114" t="str">
        <f>IFERROR(__xludf.DUMMYFUNCTION("""COMPUTED_VALUE"""),"Activate 30 of the hero's skill panels")</f>
        <v>Activate 30 of the hero's skill panels</v>
      </c>
    </row>
    <row r="161">
      <c r="A161" s="115" t="str">
        <f>IFERROR(__xludf.DUMMYFUNCTION("""COMPUTED_VALUE"""),"Salutary Luminary")</f>
        <v>Salutary Luminary</v>
      </c>
      <c r="B161" s="115" t="str">
        <f>IFERROR(__xludf.DUMMYFUNCTION("""COMPUTED_VALUE"""),"Activate 40 of the hero's skill panels")</f>
        <v>Activate 40 of the hero's skill panels</v>
      </c>
    </row>
    <row r="162">
      <c r="A162" s="114" t="str">
        <f>IFERROR(__xludf.DUMMYFUNCTION("""COMPUTED_VALUE"""),"Extraordinary Luminary")</f>
        <v>Extraordinary Luminary</v>
      </c>
      <c r="B162" s="114" t="str">
        <f>IFERROR(__xludf.DUMMYFUNCTION("""COMPUTED_VALUE"""),"Activate 50 of the hero's skill panels")</f>
        <v>Activate 50 of the hero's skill panels</v>
      </c>
    </row>
    <row r="163">
      <c r="A163" s="115" t="str">
        <f>IFERROR(__xludf.DUMMYFUNCTION("""COMPUTED_VALUE"""),"Legendary Luminary")</f>
        <v>Legendary Luminary</v>
      </c>
      <c r="B163" s="115" t="str">
        <f>IFERROR(__xludf.DUMMYFUNCTION("""COMPUTED_VALUE"""),"Activate all of the hero's skill panels")</f>
        <v>Activate all of the hero's skill panels</v>
      </c>
    </row>
    <row r="164">
      <c r="A164" s="114" t="str">
        <f>IFERROR(__xludf.DUMMYFUNCTION("""COMPUTED_VALUE"""),"Trainee Tearaway")</f>
        <v>Trainee Tearaway</v>
      </c>
      <c r="B164" s="114" t="str">
        <f>IFERROR(__xludf.DUMMYFUNCTION("""COMPUTED_VALUE"""),"Activate 10 of Erik's skill panels")</f>
        <v>Activate 10 of Erik's skill panels</v>
      </c>
    </row>
    <row r="165">
      <c r="A165" s="115" t="str">
        <f>IFERROR(__xludf.DUMMYFUNCTION("""COMPUTED_VALUE"""),"Burgeoning Bandit")</f>
        <v>Burgeoning Bandit</v>
      </c>
      <c r="B165" s="115" t="str">
        <f>IFERROR(__xludf.DUMMYFUNCTION("""COMPUTED_VALUE"""),"Activate 20 of Erik's skill panels")</f>
        <v>Activate 20 of Erik's skill panels</v>
      </c>
    </row>
    <row r="166">
      <c r="A166" s="114" t="str">
        <f>IFERROR(__xludf.DUMMYFUNCTION("""COMPUTED_VALUE"""),"Fully Fledged Footpad")</f>
        <v>Fully Fledged Footpad</v>
      </c>
      <c r="B166" s="114" t="str">
        <f>IFERROR(__xludf.DUMMYFUNCTION("""COMPUTED_VALUE"""),"Activate 30 of Erik's skill panels")</f>
        <v>Activate 30 of Erik's skill panels</v>
      </c>
    </row>
    <row r="167">
      <c r="A167" s="115" t="str">
        <f>IFERROR(__xludf.DUMMYFUNCTION("""COMPUTED_VALUE"""),"Career Criminal")</f>
        <v>Career Criminal</v>
      </c>
      <c r="B167" s="115" t="str">
        <f>IFERROR(__xludf.DUMMYFUNCTION("""COMPUTED_VALUE"""),"Activate 40 of Erik's skill panels")</f>
        <v>Activate 40 of Erik's skill panels</v>
      </c>
    </row>
    <row r="168">
      <c r="A168" s="114" t="str">
        <f>IFERROR(__xludf.DUMMYFUNCTION("""COMPUTED_VALUE"""),"Legendary Larcener")</f>
        <v>Legendary Larcener</v>
      </c>
      <c r="B168" s="114" t="str">
        <f>IFERROR(__xludf.DUMMYFUNCTION("""COMPUTED_VALUE"""),"Activate all of Erik's skill panels")</f>
        <v>Activate all of Erik's skill panels</v>
      </c>
    </row>
    <row r="169">
      <c r="A169" s="115" t="str">
        <f>IFERROR(__xludf.DUMMYFUNCTION("""COMPUTED_VALUE"""),"Mage in the Making")</f>
        <v>Mage in the Making</v>
      </c>
      <c r="B169" s="115" t="str">
        <f>IFERROR(__xludf.DUMMYFUNCTION("""COMPUTED_VALUE"""),"Activate 10 of Veronica's skill panels")</f>
        <v>Activate 10 of Veronica's skill panels</v>
      </c>
    </row>
    <row r="170">
      <c r="A170" s="114" t="str">
        <f>IFERROR(__xludf.DUMMYFUNCTION("""COMPUTED_VALUE"""),"Skilled Sorcerer")</f>
        <v>Skilled Sorcerer</v>
      </c>
      <c r="B170" s="114" t="str">
        <f>IFERROR(__xludf.DUMMYFUNCTION("""COMPUTED_VALUE"""),"Activate 20 of Veronica's skill panels")</f>
        <v>Activate 20 of Veronica's skill panels</v>
      </c>
    </row>
    <row r="171">
      <c r="A171" s="115" t="str">
        <f>IFERROR(__xludf.DUMMYFUNCTION("""COMPUTED_VALUE"""),"World-Class Wizard")</f>
        <v>World-Class Wizard</v>
      </c>
      <c r="B171" s="115" t="str">
        <f>IFERROR(__xludf.DUMMYFUNCTION("""COMPUTED_VALUE"""),"Activate 30 of Veronica's skill panels")</f>
        <v>Activate 30 of Veronica's skill panels</v>
      </c>
    </row>
    <row r="172">
      <c r="A172" s="114" t="str">
        <f>IFERROR(__xludf.DUMMYFUNCTION("""COMPUTED_VALUE"""),"Superstar Spellcaster")</f>
        <v>Superstar Spellcaster</v>
      </c>
      <c r="B172" s="114" t="str">
        <f>IFERROR(__xludf.DUMMYFUNCTION("""COMPUTED_VALUE"""),"Activate 40 of Veronica's skill panels")</f>
        <v>Activate 40 of Veronica's skill panels</v>
      </c>
    </row>
    <row r="173">
      <c r="A173" s="115" t="str">
        <f>IFERROR(__xludf.DUMMYFUNCTION("""COMPUTED_VALUE"""),"Legendary Legerdemadam")</f>
        <v>Legendary Legerdemadam</v>
      </c>
      <c r="B173" s="115" t="str">
        <f>IFERROR(__xludf.DUMMYFUNCTION("""COMPUTED_VALUE"""),"Activate all of Veronica's skill panels")</f>
        <v>Activate all of Veronica's skill panels</v>
      </c>
    </row>
    <row r="174">
      <c r="A174" s="114" t="str">
        <f>IFERROR(__xludf.DUMMYFUNCTION("""COMPUTED_VALUE"""),"Hopeful Healer")</f>
        <v>Hopeful Healer</v>
      </c>
      <c r="B174" s="114" t="str">
        <f>IFERROR(__xludf.DUMMYFUNCTION("""COMPUTED_VALUE"""),"Activate 10 of Serena's skill panels")</f>
        <v>Activate 10 of Serena's skill panels</v>
      </c>
    </row>
    <row r="175">
      <c r="A175" s="115" t="str">
        <f>IFERROR(__xludf.DUMMYFUNCTION("""COMPUTED_VALUE"""),"Wheeler Healer")</f>
        <v>Wheeler Healer</v>
      </c>
      <c r="B175" s="115" t="str">
        <f>IFERROR(__xludf.DUMMYFUNCTION("""COMPUTED_VALUE"""),"Activate 20 of Serena's skill panels")</f>
        <v>Activate 20 of Serena's skill panels</v>
      </c>
    </row>
    <row r="176">
      <c r="A176" s="114" t="str">
        <f>IFERROR(__xludf.DUMMYFUNCTION("""COMPUTED_VALUE"""),"The Heal Deal")</f>
        <v>The Heal Deal</v>
      </c>
      <c r="B176" s="114" t="str">
        <f>IFERROR(__xludf.DUMMYFUNCTION("""COMPUTED_VALUE"""),"Activate 30 of Serena's skill panels")</f>
        <v>Activate 30 of Serena's skill panels</v>
      </c>
    </row>
    <row r="177">
      <c r="A177" s="115" t="str">
        <f>IFERROR(__xludf.DUMMYFUNCTION("""COMPUTED_VALUE"""),"High-End Healer")</f>
        <v>High-End Healer</v>
      </c>
      <c r="B177" s="115" t="str">
        <f>IFERROR(__xludf.DUMMYFUNCTION("""COMPUTED_VALUE"""),"Activate 40 of Serena's skill panels")</f>
        <v>Activate 40 of Serena's skill panels</v>
      </c>
    </row>
    <row r="178">
      <c r="A178" s="114" t="str">
        <f>IFERROR(__xludf.DUMMYFUNCTION("""COMPUTED_VALUE"""),"Heally Legendary")</f>
        <v>Heally Legendary</v>
      </c>
      <c r="B178" s="114" t="str">
        <f>IFERROR(__xludf.DUMMYFUNCTION("""COMPUTED_VALUE"""),"Activate all of Serena's skill panels")</f>
        <v>Activate all of Serena's skill panels</v>
      </c>
    </row>
    <row r="179">
      <c r="A179" s="115" t="str">
        <f>IFERROR(__xludf.DUMMYFUNCTION("""COMPUTED_VALUE"""),"Amateur Dramatician")</f>
        <v>Amateur Dramatician</v>
      </c>
      <c r="B179" s="115" t="str">
        <f>IFERROR(__xludf.DUMMYFUNCTION("""COMPUTED_VALUE"""),"Activate 10 of Sylvando's skill panels")</f>
        <v>Activate 10 of Sylvando's skill panels</v>
      </c>
    </row>
    <row r="180">
      <c r="A180" s="114" t="str">
        <f>IFERROR(__xludf.DUMMYFUNCTION("""COMPUTED_VALUE"""),"Proficient Performer")</f>
        <v>Proficient Performer</v>
      </c>
      <c r="B180" s="114" t="str">
        <f>IFERROR(__xludf.DUMMYFUNCTION("""COMPUTED_VALUE"""),"Activate 20 of Sylvando's skill panels")</f>
        <v>Activate 20 of Sylvando's skill panels</v>
      </c>
    </row>
    <row r="181">
      <c r="A181" s="115" t="str">
        <f>IFERROR(__xludf.DUMMYFUNCTION("""COMPUTED_VALUE"""),"Born Board-Treader")</f>
        <v>Born Board-Treader</v>
      </c>
      <c r="B181" s="115" t="str">
        <f>IFERROR(__xludf.DUMMYFUNCTION("""COMPUTED_VALUE"""),"Activate 30 of Sylvando's skill panels")</f>
        <v>Activate 30 of Sylvando's skill panels</v>
      </c>
    </row>
    <row r="182">
      <c r="A182" s="114" t="str">
        <f>IFERROR(__xludf.DUMMYFUNCTION("""COMPUTED_VALUE"""),"Star of the Stage")</f>
        <v>Star of the Stage</v>
      </c>
      <c r="B182" s="114" t="str">
        <f>IFERROR(__xludf.DUMMYFUNCTION("""COMPUTED_VALUE"""),"Activate 40 of Sylvando's skill panels")</f>
        <v>Activate 40 of Sylvando's skill panels</v>
      </c>
    </row>
    <row r="183">
      <c r="A183" s="115" t="str">
        <f>IFERROR(__xludf.DUMMYFUNCTION("""COMPUTED_VALUE"""),"Living Legend")</f>
        <v>Living Legend</v>
      </c>
      <c r="B183" s="115" t="str">
        <f>IFERROR(__xludf.DUMMYFUNCTION("""COMPUTED_VALUE"""),"Activate all of Sylvando's skill panels")</f>
        <v>Activate all of Sylvando's skill panels</v>
      </c>
    </row>
    <row r="184">
      <c r="A184" s="114" t="str">
        <f>IFERROR(__xludf.DUMMYFUNCTION("""COMPUTED_VALUE"""),"Old Dog, New Tricks")</f>
        <v>Old Dog, New Tricks</v>
      </c>
      <c r="B184" s="114" t="str">
        <f>IFERROR(__xludf.DUMMYFUNCTION("""COMPUTED_VALUE"""),"Activate 10 of Rab's skill panels")</f>
        <v>Activate 10 of Rab's skill panels</v>
      </c>
    </row>
    <row r="185">
      <c r="A185" s="115" t="str">
        <f>IFERROR(__xludf.DUMMYFUNCTION("""COMPUTED_VALUE"""),"As Young as You Feel")</f>
        <v>As Young as You Feel</v>
      </c>
      <c r="B185" s="115" t="str">
        <f>IFERROR(__xludf.DUMMYFUNCTION("""COMPUTED_VALUE"""),"Activate 20 of Rab's skill panels")</f>
        <v>Activate 20 of Rab's skill panels</v>
      </c>
    </row>
    <row r="186">
      <c r="A186" s="114" t="str">
        <f>IFERROR(__xludf.DUMMYFUNCTION("""COMPUTED_VALUE"""),"Full of Beans")</f>
        <v>Full of Beans</v>
      </c>
      <c r="B186" s="114" t="str">
        <f>IFERROR(__xludf.DUMMYFUNCTION("""COMPUTED_VALUE"""),"Activate 30 of Rab's skill panels")</f>
        <v>Activate 30 of Rab's skill panels</v>
      </c>
    </row>
    <row r="187">
      <c r="A187" s="115" t="str">
        <f>IFERROR(__xludf.DUMMYFUNCTION("""COMPUTED_VALUE"""),"Still Going Strong")</f>
        <v>Still Going Strong</v>
      </c>
      <c r="B187" s="115" t="str">
        <f>IFERROR(__xludf.DUMMYFUNCTION("""COMPUTED_VALUE"""),"Activate 40 of Rab's skill panels")</f>
        <v>Activate 40 of Rab's skill panels</v>
      </c>
    </row>
    <row r="188">
      <c r="A188" s="114" t="str">
        <f>IFERROR(__xludf.DUMMYFUNCTION("""COMPUTED_VALUE"""),"Alive and Kicking")</f>
        <v>Alive and Kicking</v>
      </c>
      <c r="B188" s="114" t="str">
        <f>IFERROR(__xludf.DUMMYFUNCTION("""COMPUTED_VALUE"""),"Activate all of Rab's skill panels")</f>
        <v>Activate all of Rab's skill panels</v>
      </c>
    </row>
    <row r="189">
      <c r="A189" s="115" t="str">
        <f>IFERROR(__xludf.DUMMYFUNCTION("""COMPUTED_VALUE"""),"Rough-and-Tumbler")</f>
        <v>Rough-and-Tumbler</v>
      </c>
      <c r="B189" s="115" t="str">
        <f>IFERROR(__xludf.DUMMYFUNCTION("""COMPUTED_VALUE"""),"Activate 10 of Jade's skill panels")</f>
        <v>Activate 10 of Jade's skill panels</v>
      </c>
    </row>
    <row r="190">
      <c r="A190" s="114" t="str">
        <f>IFERROR(__xludf.DUMMYFUNCTION("""COMPUTED_VALUE"""),"Prize Fighter")</f>
        <v>Prize Fighter</v>
      </c>
      <c r="B190" s="114" t="str">
        <f>IFERROR(__xludf.DUMMYFUNCTION("""COMPUTED_VALUE"""),"Activate 20 of Jade's skill panels")</f>
        <v>Activate 20 of Jade's skill panels</v>
      </c>
    </row>
    <row r="191">
      <c r="A191" s="115" t="str">
        <f>IFERROR(__xludf.DUMMYFUNCTION("""COMPUTED_VALUE"""),"Professional Pummeller")</f>
        <v>Professional Pummeller</v>
      </c>
      <c r="B191" s="115" t="str">
        <f>IFERROR(__xludf.DUMMYFUNCTION("""COMPUTED_VALUE"""),"Activate 30 of Jade's skill panels")</f>
        <v>Activate 30 of Jade's skill panels</v>
      </c>
    </row>
    <row r="192">
      <c r="A192" s="114" t="str">
        <f>IFERROR(__xludf.DUMMYFUNCTION("""COMPUTED_VALUE"""),"Champ-Trampler")</f>
        <v>Champ-Trampler</v>
      </c>
      <c r="B192" s="114" t="str">
        <f>IFERROR(__xludf.DUMMYFUNCTION("""COMPUTED_VALUE"""),"Activate 40 of Jade's skill panels")</f>
        <v>Activate 40 of Jade's skill panels</v>
      </c>
    </row>
    <row r="193">
      <c r="A193" s="115" t="str">
        <f>IFERROR(__xludf.DUMMYFUNCTION("""COMPUTED_VALUE"""),"Legend of the Ring")</f>
        <v>Legend of the Ring</v>
      </c>
      <c r="B193" s="115" t="str">
        <f>IFERROR(__xludf.DUMMYFUNCTION("""COMPUTED_VALUE"""),"Activate all of Jade's skill panels")</f>
        <v>Activate all of Jade's skill panels</v>
      </c>
    </row>
    <row r="194">
      <c r="A194" s="114" t="str">
        <f>IFERROR(__xludf.DUMMYFUNCTION("""COMPUTED_VALUE"""),"Steadfast Soldier")</f>
        <v>Steadfast Soldier</v>
      </c>
      <c r="B194" s="114" t="str">
        <f>IFERROR(__xludf.DUMMYFUNCTION("""COMPUTED_VALUE"""),"Activate 10 of Eight's skill panels")</f>
        <v>Activate 10 of Eight's skill panels</v>
      </c>
    </row>
    <row r="195">
      <c r="A195" s="115" t="str">
        <f>IFERROR(__xludf.DUMMYFUNCTION("""COMPUTED_VALUE"""),"Noble Knight")</f>
        <v>Noble Knight</v>
      </c>
      <c r="B195" s="115" t="str">
        <f>IFERROR(__xludf.DUMMYFUNCTION("""COMPUTED_VALUE"""),"Activate 20 of Eight's skill panels")</f>
        <v>Activate 20 of Eight's skill panels</v>
      </c>
    </row>
    <row r="196">
      <c r="A196" s="114" t="str">
        <f>IFERROR(__xludf.DUMMYFUNCTION("""COMPUTED_VALUE"""),"Master at Arms")</f>
        <v>Master at Arms</v>
      </c>
      <c r="B196" s="114" t="str">
        <f>IFERROR(__xludf.DUMMYFUNCTION("""COMPUTED_VALUE"""),"Activate 30 of Eight's skill panels")</f>
        <v>Activate 30 of Eight's skill panels</v>
      </c>
    </row>
    <row r="197">
      <c r="A197" s="115" t="str">
        <f>IFERROR(__xludf.DUMMYFUNCTION("""COMPUTED_VALUE"""),"Grand Commander")</f>
        <v>Grand Commander</v>
      </c>
      <c r="B197" s="115" t="str">
        <f>IFERROR(__xludf.DUMMYFUNCTION("""COMPUTED_VALUE"""),"Activate 40 of Eight's skill panels")</f>
        <v>Activate 40 of Eight's skill panels</v>
      </c>
    </row>
    <row r="198">
      <c r="A198" s="114" t="str">
        <f>IFERROR(__xludf.DUMMYFUNCTION("""COMPUTED_VALUE"""),"Chivalric Legend")</f>
        <v>Chivalric Legend</v>
      </c>
      <c r="B198" s="114" t="str">
        <f>IFERROR(__xludf.DUMMYFUNCTION("""COMPUTED_VALUE"""),"Activate all of Eight's skill panels")</f>
        <v>Activate all of Eight's skill panels</v>
      </c>
    </row>
    <row r="199">
      <c r="A199" s="115" t="str">
        <f>IFERROR(__xludf.DUMMYFUNCTION("""COMPUTED_VALUE"""),"At Home on the Range")</f>
        <v>At Home on the Range</v>
      </c>
      <c r="B199" s="115" t="str">
        <f>IFERROR(__xludf.DUMMYFUNCTION("""COMPUTED_VALUE"""),"Make Camp 10 times")</f>
        <v>Make Camp 10 times</v>
      </c>
    </row>
    <row r="200">
      <c r="A200" s="114" t="str">
        <f>IFERROR(__xludf.DUMMYFUNCTION("""COMPUTED_VALUE"""),"Outdoorsperson")</f>
        <v>Outdoorsperson</v>
      </c>
      <c r="B200" s="114" t="str">
        <f>IFERROR(__xludf.DUMMYFUNCTION("""COMPUTED_VALUE"""),"Make Camp 50 times")</f>
        <v>Make Camp 50 times</v>
      </c>
    </row>
    <row r="201">
      <c r="A201" s="115" t="str">
        <f>IFERROR(__xludf.DUMMYFUNCTION("""COMPUTED_VALUE"""),"Deliriously Happy Camper")</f>
        <v>Deliriously Happy Camper</v>
      </c>
      <c r="B201" s="115" t="str">
        <f>IFERROR(__xludf.DUMMYFUNCTION("""COMPUTED_VALUE"""),"Make Camp 100 times")</f>
        <v>Make Camp 100 times</v>
      </c>
    </row>
    <row r="202">
      <c r="A202" s="114" t="str">
        <f>IFERROR(__xludf.DUMMYFUNCTION("""COMPUTED_VALUE"""),"Guest Who!")</f>
        <v>Guest Who!</v>
      </c>
      <c r="B202" s="114" t="str">
        <f>IFERROR(__xludf.DUMMYFUNCTION("""COMPUTED_VALUE"""),"Stay the night at an inn 10 times")</f>
        <v>Stay the night at an inn 10 times</v>
      </c>
    </row>
    <row r="203">
      <c r="A203" s="115" t="str">
        <f>IFERROR(__xludf.DUMMYFUNCTION("""COMPUTED_VALUE"""),"Best Guest")</f>
        <v>Best Guest</v>
      </c>
      <c r="B203" s="115" t="str">
        <f>IFERROR(__xludf.DUMMYFUNCTION("""COMPUTED_VALUE"""),"Stay the night at an inn 30 times")</f>
        <v>Stay the night at an inn 30 times</v>
      </c>
    </row>
    <row r="204">
      <c r="A204" s="114" t="str">
        <f>IFERROR(__xludf.DUMMYFUNCTION("""COMPUTED_VALUE"""),"Guest Star")</f>
        <v>Guest Star</v>
      </c>
      <c r="B204" s="114" t="str">
        <f>IFERROR(__xludf.DUMMYFUNCTION("""COMPUTED_VALUE"""),"Stay the night at an inn 50 times")</f>
        <v>Stay the night at an inn 50 times</v>
      </c>
    </row>
    <row r="205">
      <c r="A205" s="115" t="str">
        <f>IFERROR(__xludf.DUMMYFUNCTION("""COMPUTED_VALUE"""),"Pathfinder General")</f>
        <v>Pathfinder General</v>
      </c>
      <c r="B205" s="115" t="str">
        <f>IFERROR(__xludf.DUMMYFUNCTION("""COMPUTED_VALUE"""),"Visit every locale in Erdrea")</f>
        <v>Visit every locale in Erdrea</v>
      </c>
    </row>
    <row r="206">
      <c r="A206" s="114" t="str">
        <f>IFERROR(__xludf.DUMMYFUNCTION("""COMPUTED_VALUE"""),"Island-Hopper")</f>
        <v>Island-Hopper</v>
      </c>
      <c r="B206" s="114" t="str">
        <f>IFERROR(__xludf.DUMMYFUNCTION("""COMPUTED_VALUE"""),"Make port at every island in the world")</f>
        <v>Make port at every island in the world</v>
      </c>
    </row>
    <row r="207">
      <c r="A207" s="115" t="str">
        <f>IFERROR(__xludf.DUMMYFUNCTION("""COMPUTED_VALUE"""),"Manglegrove Marksperson")</f>
        <v>Manglegrove Marksperson</v>
      </c>
      <c r="B207" s="115" t="str">
        <f>IFERROR(__xludf.DUMMYFUNCTION("""COMPUTED_VALUE"""),"Hit every bullseye in the Manglegrove")</f>
        <v>Hit every bullseye in the Manglegrove</v>
      </c>
    </row>
    <row r="208">
      <c r="A208" s="114" t="str">
        <f>IFERROR(__xludf.DUMMYFUNCTION("""COMPUTED_VALUE"""),"Coastal Crackshot")</f>
        <v>Coastal Crackshot</v>
      </c>
      <c r="B208" s="114" t="str">
        <f>IFERROR(__xludf.DUMMYFUNCTION("""COMPUTED_VALUE"""),"Hit every bullseye in the Emerald Coast")</f>
        <v>Hit every bullseye in the Emerald Coast</v>
      </c>
    </row>
    <row r="209">
      <c r="A209" s="115" t="str">
        <f>IFERROR(__xludf.DUMMYFUNCTION("""COMPUTED_VALUE"""),"Desert Deadeye")</f>
        <v>Desert Deadeye</v>
      </c>
      <c r="B209" s="115" t="str">
        <f>IFERROR(__xludf.DUMMYFUNCTION("""COMPUTED_VALUE"""),"Hit every bullseye in Gallopolis")</f>
        <v>Hit every bullseye in Gallopolis</v>
      </c>
    </row>
    <row r="210">
      <c r="A210" s="114" t="str">
        <f>IFERROR(__xludf.DUMMYFUNCTION("""COMPUTED_VALUE"""),"A Bolt in the Bog")</f>
        <v>A Bolt in the Bog</v>
      </c>
      <c r="B210" s="114" t="str">
        <f>IFERROR(__xludf.DUMMYFUNCTION("""COMPUTED_VALUE"""),"Hit every bullseye in Laguna di Gondolia")</f>
        <v>Hit every bullseye in Laguna di Gondolia</v>
      </c>
    </row>
    <row r="211">
      <c r="A211" s="115" t="str">
        <f>IFERROR(__xludf.DUMMYFUNCTION("""COMPUTED_VALUE"""),"Archer in the Rye")</f>
        <v>Archer in the Rye</v>
      </c>
      <c r="B211" s="115" t="str">
        <f>IFERROR(__xludf.DUMMYFUNCTION("""COMPUTED_VALUE"""),"Hit every bullseye in Zwaardsrust region")</f>
        <v>Hit every bullseye in Zwaardsrust region</v>
      </c>
    </row>
    <row r="212">
      <c r="A212" s="114" t="str">
        <f>IFERROR(__xludf.DUMMYFUNCTION("""COMPUTED_VALUE"""),"Dundrasil Dead Shot")</f>
        <v>Dundrasil Dead Shot</v>
      </c>
      <c r="B212" s="114" t="str">
        <f>IFERROR(__xludf.DUMMYFUNCTION("""COMPUTED_VALUE"""),"Hit every bullseye in Dundrasil")</f>
        <v>Hit every bullseye in Dundrasil</v>
      </c>
    </row>
    <row r="213">
      <c r="A213" s="115" t="str">
        <f>IFERROR(__xludf.DUMMYFUNCTION("""COMPUTED_VALUE"""),"Costa del Crossbow")</f>
        <v>Costa del Crossbow</v>
      </c>
      <c r="B213" s="115" t="str">
        <f>IFERROR(__xludf.DUMMYFUNCTION("""COMPUTED_VALUE"""),"Hit every bullseye in Costa Valor")</f>
        <v>Hit every bullseye in Costa Valor</v>
      </c>
    </row>
    <row r="214">
      <c r="A214" s="114" t="str">
        <f>IFERROR(__xludf.DUMMYFUNCTION("""COMPUTED_VALUE"""),"Champs Shooter")</f>
        <v>Champs Shooter</v>
      </c>
      <c r="B214" s="114" t="str">
        <f>IFERROR(__xludf.DUMMYFUNCTION("""COMPUTED_VALUE"""),"Hit every bullseye in the Champs Sauvage")</f>
        <v>Hit every bullseye in the Champs Sauvage</v>
      </c>
    </row>
    <row r="215">
      <c r="A215" s="115" t="str">
        <f>IFERROR(__xludf.DUMMYFUNCTION("""COMPUTED_VALUE"""),"Cold Country Hotshot")</f>
        <v>Cold Country Hotshot</v>
      </c>
      <c r="B215" s="115" t="str">
        <f>IFERROR(__xludf.DUMMYFUNCTION("""COMPUTED_VALUE"""),"Hit every bullseye in Sniflheim")</f>
        <v>Hit every bullseye in Sniflheim</v>
      </c>
    </row>
    <row r="216">
      <c r="A216" s="114" t="str">
        <f>IFERROR(__xludf.DUMMYFUNCTION("""COMPUTED_VALUE"""),"Snaerfelt Sniper")</f>
        <v>Snaerfelt Sniper</v>
      </c>
      <c r="B216" s="114" t="str">
        <f>IFERROR(__xludf.DUMMYFUNCTION("""COMPUTED_VALUE"""),"Hit every bullseye in the Snaerfelt")</f>
        <v>Hit every bullseye in the Snaerfelt</v>
      </c>
    </row>
    <row r="217">
      <c r="A217" s="115" t="str">
        <f>IFERROR(__xludf.DUMMYFUNCTION("""COMPUTED_VALUE"""),"Isle Never Miss")</f>
        <v>Isle Never Miss</v>
      </c>
      <c r="B217" s="115" t="str">
        <f>IFERROR(__xludf.DUMMYFUNCTION("""COMPUTED_VALUE"""),"Hit every bullseye in the islands scattered throughout the world")</f>
        <v>Hit every bullseye in the islands scattered throughout the world</v>
      </c>
    </row>
    <row r="218">
      <c r="A218" s="114" t="str">
        <f>IFERROR(__xludf.DUMMYFUNCTION("""COMPUTED_VALUE"""),"Crossbow Colossus")</f>
        <v>Crossbow Colossus</v>
      </c>
      <c r="B218" s="114" t="str">
        <f>IFERROR(__xludf.DUMMYFUNCTION("""COMPUTED_VALUE"""),"Hit each and every bullseye in all of Erdrea")</f>
        <v>Hit each and every bullseye in all of Erdrea</v>
      </c>
    </row>
    <row r="219">
      <c r="A219" s="115" t="str">
        <f>IFERROR(__xludf.DUMMYFUNCTION("""COMPUTED_VALUE"""),"Mooterorologist")</f>
        <v>Mooterorologist</v>
      </c>
      <c r="B219" s="115" t="str">
        <f>IFERROR(__xludf.DUMMYFUNCTION("""COMPUTED_VALUE"""),"Speak to all of the weathercows of Erdrea")</f>
        <v>Speak to all of the weathercows of Erdrea</v>
      </c>
    </row>
    <row r="220">
      <c r="A220" s="114" t="str">
        <f>IFERROR(__xludf.DUMMYFUNCTION("""COMPUTED_VALUE"""),"Whinny Winny Wonder")</f>
        <v>Whinny Winny Wonder</v>
      </c>
      <c r="B220" s="114" t="str">
        <f>IFERROR(__xludf.DUMMYFUNCTION("""COMPUTED_VALUE"""),"Won all of the Horse Races")</f>
        <v>Won all of the Horse Races</v>
      </c>
    </row>
    <row r="221">
      <c r="A221" s="115" t="str">
        <f>IFERROR(__xludf.DUMMYFUNCTION("""COMPUTED_VALUE"""),"Breezy Rider")</f>
        <v>Breezy Rider</v>
      </c>
      <c r="B221" s="115" t="str">
        <f>IFERROR(__xludf.DUMMYFUNCTION("""COMPUTED_VALUE"""),"Beaten the Champion's Challenge at the Horse Races - Bronze Cup")</f>
        <v>Beaten the Champion's Challenge at the Horse Races - Bronze Cup</v>
      </c>
    </row>
    <row r="222">
      <c r="A222" s="114" t="str">
        <f>IFERROR(__xludf.DUMMYFUNCTION("""COMPUTED_VALUE"""),"Tight-Turn Trotter")</f>
        <v>Tight-Turn Trotter</v>
      </c>
      <c r="B222" s="114" t="str">
        <f>IFERROR(__xludf.DUMMYFUNCTION("""COMPUTED_VALUE"""),"Beaten the Champion's Challenge at the Horse Races - Silver Cup")</f>
        <v>Beaten the Champion's Challenge at the Horse Races - Silver Cup</v>
      </c>
    </row>
    <row r="223">
      <c r="A223" s="115" t="str">
        <f>IFERROR(__xludf.DUMMYFUNCTION("""COMPUTED_VALUE"""),"Jump Jockey")</f>
        <v>Jump Jockey</v>
      </c>
      <c r="B223" s="115" t="str">
        <f>IFERROR(__xludf.DUMMYFUNCTION("""COMPUTED_VALUE"""),"Beaten the Champion's Challenge at the Horse Races - Gold Cup")</f>
        <v>Beaten the Champion's Challenge at the Horse Races - Gold Cup</v>
      </c>
    </row>
    <row r="224">
      <c r="A224" s="114" t="str">
        <f>IFERROR(__xludf.DUMMYFUNCTION("""COMPUTED_VALUE"""),"Pillar to Post")</f>
        <v>Pillar to Post</v>
      </c>
      <c r="B224" s="114" t="str">
        <f>IFERROR(__xludf.DUMMYFUNCTION("""COMPUTED_VALUE"""),"Beaten the Champion's Challenge at the Horse Races - Platinum Cup")</f>
        <v>Beaten the Champion's Challenge at the Horse Races - Platinum Cup</v>
      </c>
    </row>
    <row r="225">
      <c r="A225" s="115" t="str">
        <f>IFERROR(__xludf.DUMMYFUNCTION("""COMPUTED_VALUE"""),"Dark Horse")</f>
        <v>Dark Horse</v>
      </c>
      <c r="B225" s="115" t="str">
        <f>IFERROR(__xludf.DUMMYFUNCTION("""COMPUTED_VALUE"""),"Beaten the Champion's Challenge at the Horse Races - Black Cup")</f>
        <v>Beaten the Champion's Challenge at the Horse Races - Black Cup</v>
      </c>
    </row>
    <row r="226">
      <c r="A226" s="114" t="str">
        <f>IFERROR(__xludf.DUMMYFUNCTION("""COMPUTED_VALUE"""),"Puff-Puff Pioneer")</f>
        <v>Puff-Puff Pioneer</v>
      </c>
      <c r="B226" s="114" t="str">
        <f>IFERROR(__xludf.DUMMYFUNCTION("""COMPUTED_VALUE"""),"Your first taste of the exotic power of the puff-puff")</f>
        <v>Your first taste of the exotic power of the puff-puff</v>
      </c>
    </row>
    <row r="227">
      <c r="A227" s="115" t="str">
        <f>IFERROR(__xludf.DUMMYFUNCTION("""COMPUTED_VALUE"""),"Puff-Puff Buff")</f>
        <v>Puff-Puff Buff</v>
      </c>
      <c r="B227" s="115" t="str">
        <f>IFERROR(__xludf.DUMMYFUNCTION("""COMPUTED_VALUE"""),"Experienced the pleasure of the puff-puff in all its many forms")</f>
        <v>Experienced the pleasure of the puff-puff in all its many forms</v>
      </c>
    </row>
    <row r="228">
      <c r="A228" s="114" t="str">
        <f>IFERROR(__xludf.DUMMYFUNCTION("""COMPUTED_VALUE"""),"Where No Man Has Gone Before")</f>
        <v>Where No Man Has Gone Before</v>
      </c>
      <c r="B228" s="114" t="str">
        <f>IFERROR(__xludf.DUMMYFUNCTION("""COMPUTED_VALUE"""),"Exited the Steam Baths through the woman's entrance")</f>
        <v>Exited the Steam Baths through the woman's entrance</v>
      </c>
    </row>
    <row r="229">
      <c r="A229" s="115" t="str">
        <f>IFERROR(__xludf.DUMMYFUNCTION("""COMPUTED_VALUE"""),"Heroes' Hero's Hero")</f>
        <v>Heroes' Hero's Hero</v>
      </c>
      <c r="B229" s="115" t="str">
        <f>IFERROR(__xludf.DUMMYFUNCTION("""COMPUTED_VALUE"""),"Wished for a dirty magazine")</f>
        <v>Wished for a dirty magazine</v>
      </c>
    </row>
    <row r="230">
      <c r="A230" s="114" t="str">
        <f>IFERROR(__xludf.DUMMYFUNCTION("""COMPUTED_VALUE"""),"Questward Ho!")</f>
        <v>Questward Ho!</v>
      </c>
      <c r="B230" s="114" t="str">
        <f>IFERROR(__xludf.DUMMYFUNCTION("""COMPUTED_VALUE"""),"Complete 10 quests")</f>
        <v>Complete 10 quests</v>
      </c>
    </row>
    <row r="231">
      <c r="A231" s="115" t="str">
        <f>IFERROR(__xludf.DUMMYFUNCTION("""COMPUTED_VALUE"""),"Quest to Impress")</f>
        <v>Quest to Impress</v>
      </c>
      <c r="B231" s="115" t="str">
        <f>IFERROR(__xludf.DUMMYFUNCTION("""COMPUTED_VALUE"""),"Complete 40 quests")</f>
        <v>Complete 40 quests</v>
      </c>
    </row>
    <row r="232">
      <c r="A232" s="114" t="str">
        <f>IFERROR(__xludf.DUMMYFUNCTION("""COMPUTED_VALUE"""),"Simply the Quest")</f>
        <v>Simply the Quest</v>
      </c>
      <c r="B232" s="114" t="str">
        <f>IFERROR(__xludf.DUMMYFUNCTION("""COMPUTED_VALUE"""),"Complete all quests")</f>
        <v>Complete all quests</v>
      </c>
    </row>
    <row r="233">
      <c r="A233" s="115" t="str">
        <f>IFERROR(__xludf.DUMMYFUNCTION("""COMPUTED_VALUE"""),"Truly A-Maze-Ing")</f>
        <v>Truly A-Maze-Ing</v>
      </c>
      <c r="B233" s="115" t="str">
        <f>IFERROR(__xludf.DUMMYFUNCTION("""COMPUTED_VALUE"""),"Made all five wishes")</f>
        <v>Made all five wishes</v>
      </c>
    </row>
    <row r="234">
      <c r="A234" s="114" t="str">
        <f>IFERROR(__xludf.DUMMYFUNCTION("""COMPUTED_VALUE"""),"Happily Married")</f>
        <v>Happily Married</v>
      </c>
      <c r="B234" s="114" t="str">
        <f>IFERROR(__xludf.DUMMYFUNCTION("""COMPUTED_VALUE"""),"Until death do you part")</f>
        <v>Until death do you part</v>
      </c>
    </row>
  </sheetData>
  <mergeCells count="8">
    <mergeCell ref="A2:B2"/>
    <mergeCell ref="A3:B3"/>
    <mergeCell ref="A4:B4"/>
    <mergeCell ref="A5:B5"/>
    <mergeCell ref="A34:B34"/>
    <mergeCell ref="A68:B68"/>
    <mergeCell ref="A96:B96"/>
    <mergeCell ref="A122:B1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3.88"/>
    <col customWidth="1" min="3" max="3" width="12.63"/>
    <col customWidth="1" min="4" max="4" width="97.25"/>
  </cols>
  <sheetData>
    <row r="1">
      <c r="A1" s="1" t="str">
        <f>IFERROR(__xludf.DUMMYFUNCTION("IMPORTRANGE(""1pGQGO9M_OLNstXbY45t1_zMDCLpiw8pwB7y8fM3IKkA"",""Materials!A1:D117"")"),"Material")</f>
        <v>Material</v>
      </c>
      <c r="B1" s="28" t="str">
        <f>IFERROR(__xludf.DUMMYFUNCTION("""COMPUTED_VALUE"""),"Shop")</f>
        <v>Shop</v>
      </c>
      <c r="C1" s="28" t="str">
        <f>IFERROR(__xludf.DUMMYFUNCTION("""COMPUTED_VALUE"""),"Cost")</f>
        <v>Cost</v>
      </c>
      <c r="D1" s="28" t="str">
        <f>IFERROR(__xludf.DUMMYFUNCTION("""COMPUTED_VALUE"""),"Sparkly or Common Drop/Steal if no alternative")</f>
        <v>Sparkly or Common Drop/Steal if no alternative</v>
      </c>
    </row>
    <row r="2">
      <c r="A2" s="29" t="str">
        <f>IFERROR(__xludf.DUMMYFUNCTION("""COMPUTED_VALUE"""),"Some materials might not be added until further in the game, refer to bulk farming tab for more details on the mats commonly found in endgame equipment and costumes
The in game item list also lumps in the camp shops with the location, so it's possible the"&amp;"y might not have a sparkly in that location")</f>
        <v>Some materials might not be added until further in the game, refer to bulk farming tab for more details on the mats commonly found in endgame equipment and costumes
The in game item list also lumps in the camp shops with the location, so it's possible they might not have a sparkly in that location</v>
      </c>
      <c r="B2" s="4"/>
      <c r="C2" s="4"/>
      <c r="D2" s="5"/>
    </row>
    <row r="3">
      <c r="A3" s="13" t="str">
        <f>IFERROR(__xludf.DUMMYFUNCTION("""COMPUTED_VALUE"""),"Copper Ore")</f>
        <v>Copper Ore</v>
      </c>
      <c r="B3" s="30" t="str">
        <f>IFERROR(__xludf.DUMMYFUNCTION("""COMPUTED_VALUE"""),"Havens Above")</f>
        <v>Havens Above</v>
      </c>
      <c r="C3" s="30">
        <f>IFERROR(__xludf.DUMMYFUNCTION("""COMPUTED_VALUE"""),40.0)</f>
        <v>40</v>
      </c>
      <c r="D3" s="13" t="str">
        <f>IFERROR(__xludf.DUMMYFUNCTION("""COMPUTED_VALUE"""),"Cobblestone Tor, Heliodor Region, Manglegrove, Hotto Steppe, Gallopolis Region, Laguna di Gondolia, Costa Valor")</f>
        <v>Cobblestone Tor, Heliodor Region, Manglegrove, Hotto Steppe, Gallopolis Region, Laguna di Gondolia, Costa Valor</v>
      </c>
    </row>
    <row r="4">
      <c r="A4" s="9" t="str">
        <f>IFERROR(__xludf.DUMMYFUNCTION("""COMPUTED_VALUE"""),"Iron Ore")</f>
        <v>Iron Ore</v>
      </c>
      <c r="B4" s="31" t="str">
        <f>IFERROR(__xludf.DUMMYFUNCTION("""COMPUTED_VALUE"""),"Havens Above")</f>
        <v>Havens Above</v>
      </c>
      <c r="C4" s="31">
        <f>IFERROR(__xludf.DUMMYFUNCTION("""COMPUTED_VALUE"""),120.0)</f>
        <v>120</v>
      </c>
      <c r="D4" s="9" t="str">
        <f>IFERROR(__xludf.DUMMYFUNCTION("""COMPUTED_VALUE"""),"Hotto Steppe, Cryptic Crypt, Gallopolis Region, Zwaardsrust Region, Caverns Under Octagonia, Insula Orientalis, Insula Incognita")</f>
        <v>Hotto Steppe, Cryptic Crypt, Gallopolis Region, Zwaardsrust Region, Caverns Under Octagonia, Insula Orientalis, Insula Incognita</v>
      </c>
    </row>
    <row r="5">
      <c r="A5" s="13" t="str">
        <f>IFERROR(__xludf.DUMMYFUNCTION("""COMPUTED_VALUE"""),"Silver Ore")</f>
        <v>Silver Ore</v>
      </c>
      <c r="B5" s="30" t="str">
        <f>IFERROR(__xludf.DUMMYFUNCTION("""COMPUTED_VALUE"""),"Havens Above")</f>
        <v>Havens Above</v>
      </c>
      <c r="C5" s="30">
        <f>IFERROR(__xludf.DUMMYFUNCTION("""COMPUTED_VALUE"""),200.0)</f>
        <v>200</v>
      </c>
      <c r="D5" s="13" t="str">
        <f>IFERROR(__xludf.DUMMYFUNCTION("""COMPUTED_VALUE"""),"Emerald Coast, Zwaardsrust Region. Dundrasil Region, Caverns Under Octagonia, Costa Valor, Sniflheim Region")</f>
        <v>Emerald Coast, Zwaardsrust Region. Dundrasil Region, Caverns Under Octagonia, Costa Valor, Sniflheim Region</v>
      </c>
    </row>
    <row r="6">
      <c r="A6" s="9" t="str">
        <f>IFERROR(__xludf.DUMMYFUNCTION("""COMPUTED_VALUE"""),"Gold Ore")</f>
        <v>Gold Ore</v>
      </c>
      <c r="B6" s="31" t="str">
        <f>IFERROR(__xludf.DUMMYFUNCTION("""COMPUTED_VALUE"""),"Havens Above")</f>
        <v>Havens Above</v>
      </c>
      <c r="C6" s="31">
        <f>IFERROR(__xludf.DUMMYFUNCTION("""COMPUTED_VALUE"""),499.0)</f>
        <v>499</v>
      </c>
      <c r="D6" s="9" t="str">
        <f>IFERROR(__xludf.DUMMYFUNCTION("""COMPUTED_VALUE"""),"Emerald Coast, Gallopolis Region, Zwaardsrust Region, Caverns Under Octagonia, Eerie Eyrie, Hekswood")</f>
        <v>Emerald Coast, Gallopolis Region, Zwaardsrust Region, Caverns Under Octagonia, Eerie Eyrie, Hekswood</v>
      </c>
    </row>
    <row r="7">
      <c r="A7" s="13" t="str">
        <f>IFERROR(__xludf.DUMMYFUNCTION("""COMPUTED_VALUE"""),"Platinum Ore")</f>
        <v>Platinum Ore</v>
      </c>
      <c r="B7" s="30" t="str">
        <f>IFERROR(__xludf.DUMMYFUNCTION("""COMPUTED_VALUE"""),"Havens Above")</f>
        <v>Havens Above</v>
      </c>
      <c r="C7" s="30">
        <f>IFERROR(__xludf.DUMMYFUNCTION("""COMPUTED_VALUE"""),800.0)</f>
        <v>800</v>
      </c>
      <c r="D7" s="13" t="str">
        <f>IFERROR(__xludf.DUMMYFUNCTION("""COMPUTED_VALUE"""),"Nautica, Champs Sauvage, Eerie Eyrie, Sniflheim Region, Snaerfelt, Hekswood, Arborian Highlands")</f>
        <v>Nautica, Champs Sauvage, Eerie Eyrie, Sniflheim Region, Snaerfelt, Hekswood, Arborian Highlands</v>
      </c>
    </row>
    <row r="8">
      <c r="A8" s="9" t="str">
        <f>IFERROR(__xludf.DUMMYFUNCTION("""COMPUTED_VALUE"""),"Molten Globules")</f>
        <v>Molten Globules</v>
      </c>
      <c r="B8" s="31" t="str">
        <f>IFERROR(__xludf.DUMMYFUNCTION("""COMPUTED_VALUE"""),"Octagonia Casino")</f>
        <v>Octagonia Casino</v>
      </c>
      <c r="C8" s="31" t="str">
        <f>IFERROR(__xludf.DUMMYFUNCTION("""COMPUTED_VALUE"""),"20,000 Tokens")</f>
        <v>20,000 Tokens</v>
      </c>
      <c r="D8" s="9" t="str">
        <f>IFERROR(__xludf.DUMMYFUNCTION("""COMPUTED_VALUE"""),"Battleground, Common Drop: Metal Family, Uberkilling Machine")</f>
        <v>Battleground, Common Drop: Metal Family, Uberkilling Machine</v>
      </c>
    </row>
    <row r="9">
      <c r="A9" s="13" t="str">
        <f>IFERROR(__xludf.DUMMYFUNCTION("""COMPUTED_VALUE"""),"Gold Nuglet")</f>
        <v>Gold Nuglet</v>
      </c>
      <c r="B9" s="30" t="str">
        <f>IFERROR(__xludf.DUMMYFUNCTION("""COMPUTED_VALUE"""),"Trial Isle")</f>
        <v>Trial Isle</v>
      </c>
      <c r="C9" s="32">
        <f>IFERROR(__xludf.DUMMYFUNCTION("""COMPUTED_VALUE"""),2400.0)</f>
        <v>2400</v>
      </c>
      <c r="D9" s="13" t="str">
        <f>IFERROR(__xludf.DUMMYFUNCTION("""COMPUTED_VALUE"""),"Champs Sauvage - Whale Way, Battleground, Disciple's Trial, Sage's Trial")</f>
        <v>Champs Sauvage - Whale Way, Battleground, Disciple's Trial, Sage's Trial</v>
      </c>
    </row>
    <row r="10">
      <c r="A10" s="9" t="str">
        <f>IFERROR(__xludf.DUMMYFUNCTION("""COMPUTED_VALUE"""),"Mythril Ore")</f>
        <v>Mythril Ore</v>
      </c>
      <c r="B10" s="31" t="str">
        <f>IFERROR(__xludf.DUMMYFUNCTION("""COMPUTED_VALUE"""),"Sniflheim Camp &amp; Havens Above")</f>
        <v>Sniflheim Camp &amp; Havens Above</v>
      </c>
      <c r="C10" s="33">
        <f>IFERROR(__xludf.DUMMYFUNCTION("""COMPUTED_VALUE"""),2000.0)</f>
        <v>2000</v>
      </c>
      <c r="D10" s="9" t="str">
        <f>IFERROR(__xludf.DUMMYFUNCTION("""COMPUTED_VALUE"""),"Dundrasil Region, Champs Sauvage, Sniflheim Region, Snaerfelt, Mount Pang Lai, Battleground")</f>
        <v>Dundrasil Region, Champs Sauvage, Sniflheim Region, Snaerfelt, Mount Pang Lai, Battleground</v>
      </c>
    </row>
    <row r="11">
      <c r="A11" s="13" t="str">
        <f>IFERROR(__xludf.DUMMYFUNCTION("""COMPUTED_VALUE"""),"Densinium")</f>
        <v>Densinium</v>
      </c>
      <c r="B11" s="30" t="str">
        <f>IFERROR(__xludf.DUMMYFUNCTION("""COMPUTED_VALUE"""),"Trial Isle")</f>
        <v>Trial Isle</v>
      </c>
      <c r="C11" s="32">
        <f>IFERROR(__xludf.DUMMYFUNCTION("""COMPUTED_VALUE"""),2800.0)</f>
        <v>2800</v>
      </c>
      <c r="D11" s="13" t="str">
        <f>IFERROR(__xludf.DUMMYFUNCTION("""COMPUTED_VALUE"""),"Champs Sauvage, Hotto Steppe - Southern Whale Way, Battleground, Disciple's Trial")</f>
        <v>Champs Sauvage, Hotto Steppe - Southern Whale Way, Battleground, Disciple's Trial</v>
      </c>
    </row>
    <row r="12">
      <c r="A12" s="9" t="str">
        <f>IFERROR(__xludf.DUMMYFUNCTION("""COMPUTED_VALUE"""),"Gold Bar")</f>
        <v>Gold Bar</v>
      </c>
      <c r="B12" s="31" t="str">
        <f>IFERROR(__xludf.DUMMYFUNCTION("""COMPUTED_VALUE"""),"Trial Isle")</f>
        <v>Trial Isle</v>
      </c>
      <c r="C12" s="33">
        <f>IFERROR(__xludf.DUMMYFUNCTION("""COMPUTED_VALUE"""),20000.0)</f>
        <v>20000</v>
      </c>
      <c r="D12" s="9" t="str">
        <f>IFERROR(__xludf.DUMMYFUNCTION("""COMPUTED_VALUE"""),"Octagonia Casino: 100,000 Tokens check vicious token taker in trials later")</f>
        <v>Octagonia Casino: 100,000 Tokens check vicious token taker in trials later</v>
      </c>
    </row>
    <row r="13">
      <c r="A13" s="13" t="str">
        <f>IFERROR(__xludf.DUMMYFUNCTION("""COMPUTED_VALUE"""),"Dracolyte")</f>
        <v>Dracolyte</v>
      </c>
      <c r="B13" s="30" t="str">
        <f>IFERROR(__xludf.DUMMYFUNCTION("""COMPUTED_VALUE"""),"Trial Isle")</f>
        <v>Trial Isle</v>
      </c>
      <c r="C13" s="32">
        <f>IFERROR(__xludf.DUMMYFUNCTION("""COMPUTED_VALUE"""),3500.0)</f>
        <v>3500</v>
      </c>
      <c r="D13" s="13" t="str">
        <f>IFERROR(__xludf.DUMMYFUNCTION("""COMPUTED_VALUE"""),"Battleground, Trial Isle, Disciple's Trial")</f>
        <v>Battleground, Trial Isle, Disciple's Trial</v>
      </c>
    </row>
    <row r="14">
      <c r="A14" s="9" t="str">
        <f>IFERROR(__xludf.DUMMYFUNCTION("""COMPUTED_VALUE"""),"Orichalcum")</f>
        <v>Orichalcum</v>
      </c>
      <c r="B14" s="34"/>
      <c r="C14" s="31"/>
      <c r="D14" s="9" t="str">
        <f>IFERROR(__xludf.DUMMYFUNCTION("""COMPUTED_VALUE"""),"Battleground, Disciple's Trial")</f>
        <v>Battleground, Disciple's Trial</v>
      </c>
    </row>
    <row r="15">
      <c r="A15" s="13" t="str">
        <f>IFERROR(__xludf.DUMMYFUNCTION("""COMPUTED_VALUE"""),"Crimsonite")</f>
        <v>Crimsonite</v>
      </c>
      <c r="B15" s="35"/>
      <c r="C15" s="30"/>
      <c r="D15" s="13" t="str">
        <f>IFERROR(__xludf.DUMMYFUNCTION("""COMPUTED_VALUE"""),"Exchange 1 Serpent's Soul with Krystalinda in Sniflheim Castle, repeat prize for Horse Race Black Cup")</f>
        <v>Exchange 1 Serpent's Soul with Krystalinda in Sniflheim Castle, repeat prize for Horse Race Black Cup</v>
      </c>
    </row>
    <row r="16">
      <c r="A16" s="9" t="str">
        <f>IFERROR(__xludf.DUMMYFUNCTION("""COMPUTED_VALUE"""),"Flintstone")</f>
        <v>Flintstone</v>
      </c>
      <c r="B16" s="31" t="str">
        <f>IFERROR(__xludf.DUMMYFUNCTION("""COMPUTED_VALUE"""),"Manglegrove")</f>
        <v>Manglegrove</v>
      </c>
      <c r="C16" s="31">
        <f>IFERROR(__xludf.DUMMYFUNCTION("""COMPUTED_VALUE"""),120.0)</f>
        <v>120</v>
      </c>
      <c r="D16" s="9" t="str">
        <f>IFERROR(__xludf.DUMMYFUNCTION("""COMPUTED_VALUE"""),"Heliodor Region, Manglegrove, Champs Sauvage")</f>
        <v>Heliodor Region, Manglegrove, Champs Sauvage</v>
      </c>
    </row>
    <row r="17">
      <c r="A17" s="13" t="str">
        <f>IFERROR(__xludf.DUMMYFUNCTION("""COMPUTED_VALUE"""),"Warmaline")</f>
        <v>Warmaline</v>
      </c>
      <c r="B17" s="35"/>
      <c r="C17" s="30"/>
      <c r="D17" s="13" t="str">
        <f>IFERROR(__xludf.DUMMYFUNCTION("""COMPUTED_VALUE"""),"Hotto Steppe")</f>
        <v>Hotto Steppe</v>
      </c>
    </row>
    <row r="18">
      <c r="A18" s="9" t="str">
        <f>IFERROR(__xludf.DUMMYFUNCTION("""COMPUTED_VALUE"""),"Lava Lump")</f>
        <v>Lava Lump</v>
      </c>
      <c r="B18" s="34"/>
      <c r="C18" s="31"/>
      <c r="D18" s="9" t="str">
        <f>IFERROR(__xludf.DUMMYFUNCTION("""COMPUTED_VALUE"""),"Hotto Steppe, Mount Huji, Hotto Steppe - Northern Whale Way")</f>
        <v>Hotto Steppe, Mount Huji, Hotto Steppe - Northern Whale Way</v>
      </c>
    </row>
    <row r="19">
      <c r="A19" s="13" t="str">
        <f>IFERROR(__xludf.DUMMYFUNCTION("""COMPUTED_VALUE"""),"Kitty Litter")</f>
        <v>Kitty Litter</v>
      </c>
      <c r="B19" s="35"/>
      <c r="C19" s="35"/>
      <c r="D19" s="36" t="str">
        <f>IFERROR(__xludf.DUMMYFUNCTION("""COMPUTED_VALUE"""),"Common: Weartiger, Cheeter Cheetah")</f>
        <v>Common: Weartiger, Cheeter Cheetah</v>
      </c>
    </row>
    <row r="20">
      <c r="A20" s="9" t="str">
        <f>IFERROR(__xludf.DUMMYFUNCTION("""COMPUTED_VALUE"""),"Glass Frit")</f>
        <v>Glass Frit</v>
      </c>
      <c r="B20" s="31" t="str">
        <f>IFERROR(__xludf.DUMMYFUNCTION("""COMPUTED_VALUE"""),"Warrior's Rest Inn &amp; Costa Valor Camp")</f>
        <v>Warrior's Rest Inn &amp; Costa Valor Camp</v>
      </c>
      <c r="C20" s="31">
        <f>IFERROR(__xludf.DUMMYFUNCTION("""COMPUTED_VALUE"""),250.0)</f>
        <v>250</v>
      </c>
      <c r="D20" s="9" t="str">
        <f>IFERROR(__xludf.DUMMYFUNCTION("""COMPUTED_VALUE"""),"Hotto Steppe, Gallopolis Region, Laguna di Gondolia, Grotta della Fonte, Zwaardsrust Region, Dundrasil Region, Costa Valor")</f>
        <v>Hotto Steppe, Gallopolis Region, Laguna di Gondolia, Grotta della Fonte, Zwaardsrust Region, Dundrasil Region, Costa Valor</v>
      </c>
    </row>
    <row r="21">
      <c r="A21" s="13" t="str">
        <f>IFERROR(__xludf.DUMMYFUNCTION("""COMPUTED_VALUE"""),"Mirrorstone")</f>
        <v>Mirrorstone</v>
      </c>
      <c r="B21" s="30" t="str">
        <f>IFERROR(__xludf.DUMMYFUNCTION("""COMPUTED_VALUE"""),"Snaerfelt Camp")</f>
        <v>Snaerfelt Camp</v>
      </c>
      <c r="C21" s="30">
        <f>IFERROR(__xludf.DUMMYFUNCTION("""COMPUTED_VALUE"""),480.0)</f>
        <v>480</v>
      </c>
      <c r="D21" s="13" t="str">
        <f>IFERROR(__xludf.DUMMYFUNCTION("""COMPUTED_VALUE"""),"Champs Sauvage, Snaerfelt, Battleground")</f>
        <v>Champs Sauvage, Snaerfelt, Battleground</v>
      </c>
    </row>
    <row r="22">
      <c r="A22" s="9" t="str">
        <f>IFERROR(__xludf.DUMMYFUNCTION("""COMPUTED_VALUE"""),"Brighten Rock")</f>
        <v>Brighten Rock</v>
      </c>
      <c r="B22" s="31" t="str">
        <f>IFERROR(__xludf.DUMMYFUNCTION("""COMPUTED_VALUE"""),"Snaerfelt Camp")</f>
        <v>Snaerfelt Camp</v>
      </c>
      <c r="C22" s="31">
        <f>IFERROR(__xludf.DUMMYFUNCTION("""COMPUTED_VALUE"""),770.0)</f>
        <v>770</v>
      </c>
      <c r="D22" s="9" t="str">
        <f>IFERROR(__xludf.DUMMYFUNCTION("""COMPUTED_VALUE"""),"Dundrasil Region, Sniflheim Region, Snaerfelt, Gallopolis - Whale Way, Battleground, Disciple's Trial")</f>
        <v>Dundrasil Region, Sniflheim Region, Snaerfelt, Gallopolis - Whale Way, Battleground, Disciple's Trial</v>
      </c>
    </row>
    <row r="23">
      <c r="A23" s="13" t="str">
        <f>IFERROR(__xludf.DUMMYFUNCTION("""COMPUTED_VALUE"""),"Dieamend")</f>
        <v>Dieamend</v>
      </c>
      <c r="B23" s="35"/>
      <c r="C23" s="30"/>
      <c r="D23" s="13" t="str">
        <f>IFERROR(__xludf.DUMMYFUNCTION("""COMPUTED_VALUE"""),"Zwaardsrust Region, Mount Pang Lai, Hotto Steppe - Northern Whale Way, Disciple's Trial")</f>
        <v>Zwaardsrust Region, Mount Pang Lai, Hotto Steppe - Northern Whale Way, Disciple's Trial</v>
      </c>
    </row>
    <row r="24">
      <c r="A24" s="9" t="str">
        <f>IFERROR(__xludf.DUMMYFUNCTION("""COMPUTED_VALUE"""),"Lucida Shard")</f>
        <v>Lucida Shard</v>
      </c>
      <c r="B24" s="31" t="str">
        <f>IFERROR(__xludf.DUMMYFUNCTION("""COMPUTED_VALUE"""),"Trial Isle")</f>
        <v>Trial Isle</v>
      </c>
      <c r="C24" s="33">
        <f>IFERROR(__xludf.DUMMYFUNCTION("""COMPUTED_VALUE"""),1000.0)</f>
        <v>1000</v>
      </c>
      <c r="D24" s="9" t="str">
        <f>IFERROR(__xludf.DUMMYFUNCTION("""COMPUTED_VALUE"""),"Hekswood, Champs Sauvage - Whale Way, Trial Isle")</f>
        <v>Hekswood, Champs Sauvage - Whale Way, Trial Isle</v>
      </c>
    </row>
    <row r="25">
      <c r="A25" s="13" t="str">
        <f>IFERROR(__xludf.DUMMYFUNCTION("""COMPUTED_VALUE"""),"Enchanted Stone")</f>
        <v>Enchanted Stone</v>
      </c>
      <c r="B25" s="35"/>
      <c r="C25" s="30"/>
      <c r="D25" s="13" t="str">
        <f>IFERROR(__xludf.DUMMYFUNCTION("""COMPUTED_VALUE"""),"Hotto Steppe, Nautia, Mount Pang Lai")</f>
        <v>Hotto Steppe, Nautia, Mount Pang Lai</v>
      </c>
    </row>
    <row r="26">
      <c r="A26" s="9" t="str">
        <f>IFERROR(__xludf.DUMMYFUNCTION("""COMPUTED_VALUE"""),"Ethereal Stone")</f>
        <v>Ethereal Stone</v>
      </c>
      <c r="B26" s="34"/>
      <c r="C26" s="31"/>
      <c r="D26" s="9" t="str">
        <f>IFERROR(__xludf.DUMMYFUNCTION("""COMPUTED_VALUE"""),"Hotto Steppe, Dundrasil Region, Champs Sauvage, Manglegrove - Whale Way, Sniflheim - Whale Way, Trial Isle")</f>
        <v>Hotto Steppe, Dundrasil Region, Champs Sauvage, Manglegrove - Whale Way, Sniflheim - Whale Way, Trial Isle</v>
      </c>
    </row>
    <row r="27">
      <c r="A27" s="13" t="str">
        <f>IFERROR(__xludf.DUMMYFUNCTION("""COMPUTED_VALUE"""),"Fire Ball")</f>
        <v>Fire Ball</v>
      </c>
      <c r="B27" s="30" t="str">
        <f>IFERROR(__xludf.DUMMYFUNCTION("""COMPUTED_VALUE"""),"Octagonia Casino")</f>
        <v>Octagonia Casino</v>
      </c>
      <c r="C27" s="30" t="str">
        <f>IFERROR(__xludf.DUMMYFUNCTION("""COMPUTED_VALUE"""),"80,000 Tokens")</f>
        <v>80,000 Tokens</v>
      </c>
      <c r="D27" s="36" t="str">
        <f>IFERROR(__xludf.DUMMYFUNCTION("""COMPUTED_VALUE"""),"Common: Brodysseus (Rarefied)")</f>
        <v>Common: Brodysseus (Rarefied)</v>
      </c>
    </row>
    <row r="28">
      <c r="A28" s="9" t="str">
        <f>IFERROR(__xludf.DUMMYFUNCTION("""COMPUTED_VALUE"""),"Agate of Evolution")</f>
        <v>Agate of Evolution</v>
      </c>
      <c r="B28" s="31" t="str">
        <f>IFERROR(__xludf.DUMMYFUNCTION("""COMPUTED_VALUE"""),"Puerto Valor Casino")</f>
        <v>Puerto Valor Casino</v>
      </c>
      <c r="C28" s="31" t="str">
        <f>IFERROR(__xludf.DUMMYFUNCTION("""COMPUTED_VALUE"""),"50,000 Token")</f>
        <v>50,000 Token</v>
      </c>
      <c r="D28" s="9" t="str">
        <f>IFERROR(__xludf.DUMMYFUNCTION("""COMPUTED_VALUE"""),"Common: Headless Norseman, Hooperman")</f>
        <v>Common: Headless Norseman, Hooperman</v>
      </c>
    </row>
    <row r="29">
      <c r="A29" s="13" t="str">
        <f>IFERROR(__xludf.DUMMYFUNCTION("""COMPUTED_VALUE"""),"Uber Agate of Evolution")</f>
        <v>Uber Agate of Evolution</v>
      </c>
      <c r="B29" s="30" t="str">
        <f>IFERROR(__xludf.DUMMYFUNCTION("""COMPUTED_VALUE"""),"Mini Medal Exchange Shop")</f>
        <v>Mini Medal Exchange Shop</v>
      </c>
      <c r="C29" s="30" t="str">
        <f>IFERROR(__xludf.DUMMYFUNCTION("""COMPUTED_VALUE"""),"5 Medals")</f>
        <v>5 Medals</v>
      </c>
      <c r="D29" s="13" t="str">
        <f>IFERROR(__xludf.DUMMYFUNCTION("""COMPUTED_VALUE"""),"Common: Red Giant, Rare: Phoenix")</f>
        <v>Common: Red Giant, Rare: Phoenix</v>
      </c>
    </row>
    <row r="30">
      <c r="A30" s="9" t="str">
        <f>IFERROR(__xludf.DUMMYFUNCTION("""COMPUTED_VALUE"""),"Red Eye")</f>
        <v>Red Eye</v>
      </c>
      <c r="B30" s="31" t="str">
        <f>IFERROR(__xludf.DUMMYFUNCTION("""COMPUTED_VALUE"""),"L'Academie")</f>
        <v>L'Academie</v>
      </c>
      <c r="C30" s="33">
        <f>IFERROR(__xludf.DUMMYFUNCTION("""COMPUTED_VALUE"""),1000.0)</f>
        <v>1000</v>
      </c>
      <c r="D30" s="9" t="str">
        <f>IFERROR(__xludf.DUMMYFUNCTION("""COMPUTED_VALUE"""),"Champs Sauvage, Battleground")</f>
        <v>Champs Sauvage, Battleground</v>
      </c>
    </row>
    <row r="31">
      <c r="A31" s="13" t="str">
        <f>IFERROR(__xludf.DUMMYFUNCTION("""COMPUTED_VALUE"""),"Blue Eye")</f>
        <v>Blue Eye</v>
      </c>
      <c r="B31" s="30" t="str">
        <f>IFERROR(__xludf.DUMMYFUNCTION("""COMPUTED_VALUE"""),"L'Academie")</f>
        <v>L'Academie</v>
      </c>
      <c r="C31" s="32">
        <f>IFERROR(__xludf.DUMMYFUNCTION("""COMPUTED_VALUE"""),1000.0)</f>
        <v>1000</v>
      </c>
      <c r="D31" s="13" t="str">
        <f>IFERROR(__xludf.DUMMYFUNCTION("""COMPUTED_VALUE"""),"Snaerfelt, Hekswood, Battleground")</f>
        <v>Snaerfelt, Hekswood, Battleground</v>
      </c>
    </row>
    <row r="32">
      <c r="A32" s="9" t="str">
        <f>IFERROR(__xludf.DUMMYFUNCTION("""COMPUTED_VALUE"""),"Yellow Eye")</f>
        <v>Yellow Eye</v>
      </c>
      <c r="B32" s="31" t="str">
        <f>IFERROR(__xludf.DUMMYFUNCTION("""COMPUTED_VALUE"""),"L'Academie")</f>
        <v>L'Academie</v>
      </c>
      <c r="C32" s="33">
        <f>IFERROR(__xludf.DUMMYFUNCTION("""COMPUTED_VALUE"""),1000.0)</f>
        <v>1000</v>
      </c>
      <c r="D32" s="9" t="str">
        <f>IFERROR(__xludf.DUMMYFUNCTION("""COMPUTED_VALUE"""),"Gallopolis Region, Battleground")</f>
        <v>Gallopolis Region, Battleground</v>
      </c>
    </row>
    <row r="33">
      <c r="A33" s="13" t="str">
        <f>IFERROR(__xludf.DUMMYFUNCTION("""COMPUTED_VALUE"""),"Green Eye")</f>
        <v>Green Eye</v>
      </c>
      <c r="B33" s="30" t="str">
        <f>IFERROR(__xludf.DUMMYFUNCTION("""COMPUTED_VALUE"""),"L'Academie")</f>
        <v>L'Academie</v>
      </c>
      <c r="C33" s="32">
        <f>IFERROR(__xludf.DUMMYFUNCTION("""COMPUTED_VALUE"""),1000.0)</f>
        <v>1000</v>
      </c>
      <c r="D33" s="13" t="str">
        <f>IFERROR(__xludf.DUMMYFUNCTION("""COMPUTED_VALUE"""),"Emerald Coast, Battleground")</f>
        <v>Emerald Coast, Battleground</v>
      </c>
    </row>
    <row r="34">
      <c r="A34" s="9" t="str">
        <f>IFERROR(__xludf.DUMMYFUNCTION("""COMPUTED_VALUE"""),"Purple Eye")</f>
        <v>Purple Eye</v>
      </c>
      <c r="B34" s="31" t="str">
        <f>IFERROR(__xludf.DUMMYFUNCTION("""COMPUTED_VALUE"""),"L'Academie")</f>
        <v>L'Academie</v>
      </c>
      <c r="C34" s="33">
        <f>IFERROR(__xludf.DUMMYFUNCTION("""COMPUTED_VALUE"""),1000.0)</f>
        <v>1000</v>
      </c>
      <c r="D34" s="9" t="str">
        <f>IFERROR(__xludf.DUMMYFUNCTION("""COMPUTED_VALUE"""),"Eerie Eyrie, Battleground")</f>
        <v>Eerie Eyrie, Battleground</v>
      </c>
    </row>
    <row r="35">
      <c r="A35" s="13" t="str">
        <f>IFERROR(__xludf.DUMMYFUNCTION("""COMPUTED_VALUE"""),"Pink Pearl")</f>
        <v>Pink Pearl</v>
      </c>
      <c r="B35" s="30" t="str">
        <f>IFERROR(__xludf.DUMMYFUNCTION("""COMPUTED_VALUE"""),"Lonalulu (stall to your left by entrance)")</f>
        <v>Lonalulu (stall to your left by entrance)</v>
      </c>
      <c r="C35" s="30">
        <f>IFERROR(__xludf.DUMMYFUNCTION("""COMPUTED_VALUE"""),800.0)</f>
        <v>800</v>
      </c>
      <c r="D35" s="13"/>
    </row>
    <row r="36">
      <c r="A36" s="9" t="str">
        <f>IFERROR(__xludf.DUMMYFUNCTION("""COMPUTED_VALUE"""),"Pitch Pearl")</f>
        <v>Pitch Pearl</v>
      </c>
      <c r="B36" s="31" t="str">
        <f>IFERROR(__xludf.DUMMYFUNCTION("""COMPUTED_VALUE"""),"Lonalulu (stall to your left by entrance)")</f>
        <v>Lonalulu (stall to your left by entrance)</v>
      </c>
      <c r="C36" s="31">
        <f>IFERROR(__xludf.DUMMYFUNCTION("""COMPUTED_VALUE"""),800.0)</f>
        <v>800</v>
      </c>
      <c r="D36" s="9"/>
    </row>
    <row r="37">
      <c r="A37" s="13" t="str">
        <f>IFERROR(__xludf.DUMMYFUNCTION("""COMPUTED_VALUE"""),"Pale Pearl")</f>
        <v>Pale Pearl</v>
      </c>
      <c r="B37" s="30" t="str">
        <f>IFERROR(__xludf.DUMMYFUNCTION("""COMPUTED_VALUE"""),"Lonalulu (stall to your left by entrance)")</f>
        <v>Lonalulu (stall to your left by entrance)</v>
      </c>
      <c r="C37" s="30">
        <f>IFERROR(__xludf.DUMMYFUNCTION("""COMPUTED_VALUE"""),800.0)</f>
        <v>800</v>
      </c>
      <c r="D37" s="13"/>
    </row>
    <row r="38">
      <c r="A38" s="9" t="str">
        <f>IFERROR(__xludf.DUMMYFUNCTION("""COMPUTED_VALUE"""),"Royal Ruby")</f>
        <v>Royal Ruby</v>
      </c>
      <c r="B38" s="31" t="str">
        <f>IFERROR(__xludf.DUMMYFUNCTION("""COMPUTED_VALUE"""),"L'Academie")</f>
        <v>L'Academie</v>
      </c>
      <c r="C38" s="33">
        <f>IFERROR(__xludf.DUMMYFUNCTION("""COMPUTED_VALUE"""),2000.0)</f>
        <v>2000</v>
      </c>
      <c r="D38" s="9" t="str">
        <f>IFERROR(__xludf.DUMMYFUNCTION("""COMPUTED_VALUE"""),"Sniflheim - Whale Way, Battleground, Trial Isle, Luminary's Trial")</f>
        <v>Sniflheim - Whale Way, Battleground, Trial Isle, Luminary's Trial</v>
      </c>
    </row>
    <row r="39">
      <c r="A39" s="13" t="str">
        <f>IFERROR(__xludf.DUMMYFUNCTION("""COMPUTED_VALUE"""),"Savvy Sapphire")</f>
        <v>Savvy Sapphire</v>
      </c>
      <c r="B39" s="30" t="str">
        <f>IFERROR(__xludf.DUMMYFUNCTION("""COMPUTED_VALUE"""),"L'Academie")</f>
        <v>L'Academie</v>
      </c>
      <c r="C39" s="32">
        <f>IFERROR(__xludf.DUMMYFUNCTION("""COMPUTED_VALUE"""),2000.0)</f>
        <v>2000</v>
      </c>
      <c r="D39" s="13" t="str">
        <f>IFERROR(__xludf.DUMMYFUNCTION("""COMPUTED_VALUE"""),"Insula Algarum, Sniflheim - Whale Way, Battleground, Trial Isle, Luminary's Trial")</f>
        <v>Insula Algarum, Sniflheim - Whale Way, Battleground, Trial Isle, Luminary's Trial</v>
      </c>
    </row>
    <row r="40">
      <c r="A40" s="9" t="str">
        <f>IFERROR(__xludf.DUMMYFUNCTION("""COMPUTED_VALUE"""),"Sunny Citrine")</f>
        <v>Sunny Citrine</v>
      </c>
      <c r="B40" s="31" t="str">
        <f>IFERROR(__xludf.DUMMYFUNCTION("""COMPUTED_VALUE"""),"L'Academie")</f>
        <v>L'Academie</v>
      </c>
      <c r="C40" s="33">
        <f>IFERROR(__xludf.DUMMYFUNCTION("""COMPUTED_VALUE"""),2000.0)</f>
        <v>2000</v>
      </c>
      <c r="D40" s="9" t="str">
        <f>IFERROR(__xludf.DUMMYFUNCTION("""COMPUTED_VALUE"""),"Hotto Steppe - Southern Whale Way, Battleground, Trial Isle, Luminary's Trial")</f>
        <v>Hotto Steppe - Southern Whale Way, Battleground, Trial Isle, Luminary's Trial</v>
      </c>
    </row>
    <row r="41">
      <c r="A41" s="13" t="str">
        <f>IFERROR(__xludf.DUMMYFUNCTION("""COMPUTED_VALUE"""),"Equable Emerald")</f>
        <v>Equable Emerald</v>
      </c>
      <c r="B41" s="30" t="str">
        <f>IFERROR(__xludf.DUMMYFUNCTION("""COMPUTED_VALUE"""),"L'Academie")</f>
        <v>L'Academie</v>
      </c>
      <c r="C41" s="32">
        <f>IFERROR(__xludf.DUMMYFUNCTION("""COMPUTED_VALUE"""),2000.0)</f>
        <v>2000</v>
      </c>
      <c r="D41" s="13" t="str">
        <f>IFERROR(__xludf.DUMMYFUNCTION("""COMPUTED_VALUE"""),"Dundrasil Region, Manglegrove - Whale Way, Battleground, Trial Isle, Luminary's Trial")</f>
        <v>Dundrasil Region, Manglegrove - Whale Way, Battleground, Trial Isle, Luminary's Trial</v>
      </c>
    </row>
    <row r="42">
      <c r="A42" s="9" t="str">
        <f>IFERROR(__xludf.DUMMYFUNCTION("""COMPUTED_VALUE"""),"Artful Amethyst")</f>
        <v>Artful Amethyst</v>
      </c>
      <c r="B42" s="31" t="str">
        <f>IFERROR(__xludf.DUMMYFUNCTION("""COMPUTED_VALUE"""),"L'Academie")</f>
        <v>L'Academie</v>
      </c>
      <c r="C42" s="33">
        <f>IFERROR(__xludf.DUMMYFUNCTION("""COMPUTED_VALUE"""),2000.0)</f>
        <v>2000</v>
      </c>
      <c r="D42" s="9" t="str">
        <f>IFERROR(__xludf.DUMMYFUNCTION("""COMPUTED_VALUE"""),"Hotto Steppe - Northern Whale Way, Zwaardsrust - Whale Way Station, Battleground, Trial Isle, Luminary's Trial")</f>
        <v>Hotto Steppe - Northern Whale Way, Zwaardsrust - Whale Way Station, Battleground, Trial Isle, Luminary's Trial</v>
      </c>
    </row>
    <row r="43">
      <c r="A43" s="13" t="str">
        <f>IFERROR(__xludf.DUMMYFUNCTION("""COMPUTED_VALUE"""),"Chronocrystal")</f>
        <v>Chronocrystal</v>
      </c>
      <c r="B43" s="30" t="str">
        <f>IFERROR(__xludf.DUMMYFUNCTION("""COMPUTED_VALUE"""),"Cobblestone (postgame)")</f>
        <v>Cobblestone (postgame)</v>
      </c>
      <c r="C43" s="32">
        <f>IFERROR(__xludf.DUMMYFUNCTION("""COMPUTED_VALUE"""),8000.0)</f>
        <v>8000</v>
      </c>
      <c r="D43" s="13" t="str">
        <f>IFERROR(__xludf.DUMMYFUNCTION("""COMPUTED_VALUE"""),"Luminary's Trial, Mini Medal Exchange Shop: 2 Medals")</f>
        <v>Luminary's Trial, Mini Medal Exchange Shop: 2 Medals</v>
      </c>
    </row>
    <row r="44">
      <c r="A44" s="9" t="str">
        <f>IFERROR(__xludf.DUMMYFUNCTION("""COMPUTED_VALUE"""),"Black Tear")</f>
        <v>Black Tear</v>
      </c>
      <c r="B44" s="34"/>
      <c r="C44" s="31"/>
      <c r="D44" s="9" t="str">
        <f>IFERROR(__xludf.DUMMYFUNCTION("""COMPUTED_VALUE"""),"Exchange 1 Serpent's Soul with Krystalinda in Sniflheim Castle")</f>
        <v>Exchange 1 Serpent's Soul with Krystalinda in Sniflheim Castle</v>
      </c>
    </row>
    <row r="45">
      <c r="A45" s="13" t="str">
        <f>IFERROR(__xludf.DUMMYFUNCTION("""COMPUTED_VALUE"""),"Spectralite")</f>
        <v>Spectralite</v>
      </c>
      <c r="B45" s="30" t="str">
        <f>IFERROR(__xludf.DUMMYFUNCTION("""COMPUTED_VALUE"""),"Trial Isle")</f>
        <v>Trial Isle</v>
      </c>
      <c r="C45" s="32">
        <f>IFERROR(__xludf.DUMMYFUNCTION("""COMPUTED_VALUE"""),10000.0)</f>
        <v>10000</v>
      </c>
      <c r="D45" s="13" t="str">
        <f>IFERROR(__xludf.DUMMYFUNCTION("""COMPUTED_VALUE"""),"Trial Isle, Sage's Trial, Common: Noble Dragon, Mini Medal Exchange Shop: 3 Medals, Puerto Valor Casino: 200,000")</f>
        <v>Trial Isle, Sage's Trial, Common: Noble Dragon, Mini Medal Exchange Shop: 3 Medals, Puerto Valor Casino: 200,000</v>
      </c>
    </row>
    <row r="46">
      <c r="A46" s="9" t="str">
        <f>IFERROR(__xludf.DUMMYFUNCTION("""COMPUTED_VALUE"""),"Pink Pine")</f>
        <v>Pink Pine</v>
      </c>
      <c r="B46" s="31" t="str">
        <f>IFERROR(__xludf.DUMMYFUNCTION("""COMPUTED_VALUE"""),"Gallopolis South &amp; Champs Sauvage Camp")</f>
        <v>Gallopolis South &amp; Champs Sauvage Camp</v>
      </c>
      <c r="C46" s="31">
        <f>IFERROR(__xludf.DUMMYFUNCTION("""COMPUTED_VALUE"""),75.0)</f>
        <v>75</v>
      </c>
      <c r="D46" s="9" t="str">
        <f>IFERROR(__xludf.DUMMYFUNCTION("""COMPUTED_VALUE"""),"Cobblestone, Heliodor Region, Manglegrove, Emerald Coast, Gallopolis Region, Laguna di Gondolia, Costa Valor, Champs Sauvage")</f>
        <v>Cobblestone, Heliodor Region, Manglegrove, Emerald Coast, Gallopolis Region, Laguna di Gondolia, Costa Valor, Champs Sauvage</v>
      </c>
    </row>
    <row r="47">
      <c r="A47" s="13" t="str">
        <f>IFERROR(__xludf.DUMMYFUNCTION("""COMPUTED_VALUE"""),"Witherwood")</f>
        <v>Witherwood</v>
      </c>
      <c r="B47" s="35"/>
      <c r="C47" s="30"/>
      <c r="D47" s="13" t="str">
        <f>IFERROR(__xludf.DUMMYFUNCTION("""COMPUTED_VALUE"""),"Gallopolis Region, Battleground")</f>
        <v>Gallopolis Region, Battleground</v>
      </c>
    </row>
    <row r="48">
      <c r="A48" s="9" t="str">
        <f>IFERROR(__xludf.DUMMYFUNCTION("""COMPUTED_VALUE"""),"Avabranche")</f>
        <v>Avabranche</v>
      </c>
      <c r="B48" s="34"/>
      <c r="C48" s="31"/>
      <c r="D48" s="9" t="str">
        <f>IFERROR(__xludf.DUMMYFUNCTION("""COMPUTED_VALUE"""),"Sniflheim Region, Snaerfelt, Hekswood, Trial Isle")</f>
        <v>Sniflheim Region, Snaerfelt, Hekswood, Trial Isle</v>
      </c>
    </row>
    <row r="49">
      <c r="A49" s="13" t="str">
        <f>IFERROR(__xludf.DUMMYFUNCTION("""COMPUTED_VALUE"""),"Spellbound Bough")</f>
        <v>Spellbound Bough</v>
      </c>
      <c r="B49" s="35"/>
      <c r="C49" s="30"/>
      <c r="D49" s="13" t="str">
        <f>IFERROR(__xludf.DUMMYFUNCTION("""COMPUTED_VALUE"""),"Manglegrove, First Forest, Mount Pang Lai, Gallopolis - Whale Way Station")</f>
        <v>Manglegrove, First Forest, Mount Pang Lai, Gallopolis - Whale Way Station</v>
      </c>
    </row>
    <row r="50">
      <c r="A50" s="9" t="str">
        <f>IFERROR(__xludf.DUMMYFUNCTION("""COMPUTED_VALUE"""),"Fatalistick")</f>
        <v>Fatalistick</v>
      </c>
      <c r="B50" s="34"/>
      <c r="C50" s="31"/>
      <c r="D50" s="9" t="str">
        <f>IFERROR(__xludf.DUMMYFUNCTION("""COMPUTED_VALUE"""),"Manglegrove, Insula Algarum")</f>
        <v>Manglegrove, Insula Algarum</v>
      </c>
    </row>
    <row r="51">
      <c r="A51" s="13" t="str">
        <f>IFERROR(__xludf.DUMMYFUNCTION("""COMPUTED_VALUE"""),"Fire Wood")</f>
        <v>Fire Wood</v>
      </c>
      <c r="B51" s="35"/>
      <c r="C51" s="30"/>
      <c r="D51" s="13" t="str">
        <f>IFERROR(__xludf.DUMMYFUNCTION("""COMPUTED_VALUE"""),"Mount Huji")</f>
        <v>Mount Huji</v>
      </c>
    </row>
    <row r="52">
      <c r="A52" s="9" t="str">
        <f>IFERROR(__xludf.DUMMYFUNCTION("""COMPUTED_VALUE"""),"Wyrmwood")</f>
        <v>Wyrmwood</v>
      </c>
      <c r="B52" s="34"/>
      <c r="C52" s="31"/>
      <c r="D52" s="9" t="str">
        <f>IFERROR(__xludf.DUMMYFUNCTION("""COMPUTED_VALUE"""),"Gallopolis - Whale Way, Laguna di Gondolia - Whale Way, Zwaardsrust - Whale Way, First Forest - Whale Way, Insula Centralis")</f>
        <v>Gallopolis - Whale Way, Laguna di Gondolia - Whale Way, Zwaardsrust - Whale Way, First Forest - Whale Way, Insula Centralis</v>
      </c>
    </row>
    <row r="53">
      <c r="A53" s="13" t="str">
        <f>IFERROR(__xludf.DUMMYFUNCTION("""COMPUTED_VALUE"""),"Cumulonimbough")</f>
        <v>Cumulonimbough</v>
      </c>
      <c r="B53" s="35"/>
      <c r="C53" s="30"/>
      <c r="D53" s="13" t="str">
        <f>IFERROR(__xludf.DUMMYFUNCTION("""COMPUTED_VALUE"""),"Insula Centralis, Trial Isle, Disciple's Trial, Common from Malicious Fruity Succubat in First Forest")</f>
        <v>Insula Centralis, Trial Isle, Disciple's Trial, Common from Malicious Fruity Succubat in First Forest</v>
      </c>
    </row>
    <row r="54">
      <c r="A54" s="9" t="str">
        <f>IFERROR(__xludf.DUMMYFUNCTION("""COMPUTED_VALUE"""),"Red Wood")</f>
        <v>Red Wood</v>
      </c>
      <c r="B54" s="34"/>
      <c r="C54" s="31"/>
      <c r="D54" s="9" t="str">
        <f>IFERROR(__xludf.DUMMYFUNCTION("""COMPUTED_VALUE"""),"Disciple's Trial, Sage's Trial, Common:Malicious Stump Champ, Red Mist")</f>
        <v>Disciple's Trial, Sage's Trial, Common:Malicious Stump Champ, Red Mist</v>
      </c>
    </row>
    <row r="55">
      <c r="A55" s="13" t="str">
        <f>IFERROR(__xludf.DUMMYFUNCTION("""COMPUTED_VALUE"""),"Night Stick")</f>
        <v>Night Stick</v>
      </c>
      <c r="B55" s="35"/>
      <c r="C55" s="30"/>
      <c r="D55" s="13" t="str">
        <f>IFERROR(__xludf.DUMMYFUNCTION("""COMPUTED_VALUE"""),"Sage's Trial, Common: Horknight Watchman")</f>
        <v>Sage's Trial, Common: Horknight Watchman</v>
      </c>
    </row>
    <row r="56">
      <c r="A56" s="9" t="str">
        <f>IFERROR(__xludf.DUMMYFUNCTION("""COMPUTED_VALUE"""),"Cottontop")</f>
        <v>Cottontop</v>
      </c>
      <c r="B56" s="31" t="str">
        <f>IFERROR(__xludf.DUMMYFUNCTION("""COMPUTED_VALUE"""),"Emerald Coast &amp; Gallopolis South Camp")</f>
        <v>Emerald Coast &amp; Gallopolis South Camp</v>
      </c>
      <c r="C56" s="31">
        <f>IFERROR(__xludf.DUMMYFUNCTION("""COMPUTED_VALUE"""),45.0)</f>
        <v>45</v>
      </c>
      <c r="D56" s="9" t="str">
        <f>IFERROR(__xludf.DUMMYFUNCTION("""COMPUTED_VALUE"""),"Heliodor Region, Manglegrove, Emerald Coast, Hotto, Gallopolis Region, Laguna di Gondolia, Costa Valor")</f>
        <v>Heliodor Region, Manglegrove, Emerald Coast, Hotto, Gallopolis Region, Laguna di Gondolia, Costa Valor</v>
      </c>
    </row>
    <row r="57">
      <c r="A57" s="13" t="str">
        <f>IFERROR(__xludf.DUMMYFUNCTION("""COMPUTED_VALUE"""),"Faerie Fluff")</f>
        <v>Faerie Fluff</v>
      </c>
      <c r="B57" s="30" t="str">
        <f>IFERROR(__xludf.DUMMYFUNCTION("""COMPUTED_VALUE"""),"Puerto Valor")</f>
        <v>Puerto Valor</v>
      </c>
      <c r="C57" s="30">
        <f>IFERROR(__xludf.DUMMYFUNCTION("""COMPUTED_VALUE"""),280.0)</f>
        <v>280</v>
      </c>
      <c r="D57" s="13" t="str">
        <f>IFERROR(__xludf.DUMMYFUNCTION("""COMPUTED_VALUE"""),"Laguna di Gondolia, Dundrasil Region, Puerto Valor, First Forest")</f>
        <v>Laguna di Gondolia, Dundrasil Region, Puerto Valor, First Forest</v>
      </c>
    </row>
    <row r="58">
      <c r="A58" s="9" t="str">
        <f>IFERROR(__xludf.DUMMYFUNCTION("""COMPUTED_VALUE"""),"Waveweed")</f>
        <v>Waveweed</v>
      </c>
      <c r="B58" s="31" t="str">
        <f>IFERROR(__xludf.DUMMYFUNCTION("""COMPUTED_VALUE"""),"Puerto Valor &amp; Nautica")</f>
        <v>Puerto Valor &amp; Nautica</v>
      </c>
      <c r="C58" s="31">
        <f>IFERROR(__xludf.DUMMYFUNCTION("""COMPUTED_VALUE"""),230.0)</f>
        <v>230</v>
      </c>
      <c r="D58" s="9" t="str">
        <f>IFERROR(__xludf.DUMMYFUNCTION("""COMPUTED_VALUE"""),"Laguna di Gondolia, Costa Valor, Puerto Valor, Lonalulu, Nautica")</f>
        <v>Laguna di Gondolia, Costa Valor, Puerto Valor, Lonalulu, Nautica</v>
      </c>
    </row>
    <row r="59">
      <c r="A59" s="13" t="str">
        <f>IFERROR(__xludf.DUMMYFUNCTION("""COMPUTED_VALUE"""),"Narspicious")</f>
        <v>Narspicious</v>
      </c>
      <c r="B59" s="30" t="str">
        <f>IFERROR(__xludf.DUMMYFUNCTION("""COMPUTED_VALUE"""),"Gallopolis South &amp; Laguna Di Gondolia Camp")</f>
        <v>Gallopolis South &amp; Laguna Di Gondolia Camp</v>
      </c>
      <c r="C59" s="30">
        <f>IFERROR(__xludf.DUMMYFUNCTION("""COMPUTED_VALUE"""),360.0)</f>
        <v>360</v>
      </c>
      <c r="D59" s="13" t="str">
        <f>IFERROR(__xludf.DUMMYFUNCTION("""COMPUTED_VALUE"""),"Gallopolis Region, Laguna di Gondolia, Zwaardsrust Region, Costa Valor, Champs Sauvage")</f>
        <v>Gallopolis Region, Laguna di Gondolia, Zwaardsrust Region, Costa Valor, Champs Sauvage</v>
      </c>
    </row>
    <row r="60">
      <c r="A60" s="9" t="str">
        <f>IFERROR(__xludf.DUMMYFUNCTION("""COMPUTED_VALUE"""),"Thinkincense")</f>
        <v>Thinkincense</v>
      </c>
      <c r="B60" s="31" t="str">
        <f>IFERROR(__xludf.DUMMYFUNCTION("""COMPUTED_VALUE"""),"Lonalulu")</f>
        <v>Lonalulu</v>
      </c>
      <c r="C60" s="31">
        <f>IFERROR(__xludf.DUMMYFUNCTION("""COMPUTED_VALUE"""),450.0)</f>
        <v>450</v>
      </c>
      <c r="D60" s="9" t="str">
        <f>IFERROR(__xludf.DUMMYFUNCTION("""COMPUTED_VALUE"""),"Champs Sauvage, Arborian Highlands")</f>
        <v>Champs Sauvage, Arborian Highlands</v>
      </c>
    </row>
    <row r="61">
      <c r="A61" s="13" t="str">
        <f>IFERROR(__xludf.DUMMYFUNCTION("""COMPUTED_VALUE"""),"Slipweed")</f>
        <v>Slipweed</v>
      </c>
      <c r="B61" s="30" t="str">
        <f>IFERROR(__xludf.DUMMYFUNCTION("""COMPUTED_VALUE"""),"Snaerfelt Camp")</f>
        <v>Snaerfelt Camp</v>
      </c>
      <c r="C61" s="30">
        <f>IFERROR(__xludf.DUMMYFUNCTION("""COMPUTED_VALUE"""),610.0)</f>
        <v>610</v>
      </c>
      <c r="D61" s="13" t="str">
        <f>IFERROR(__xludf.DUMMYFUNCTION("""COMPUTED_VALUE"""),"Eerie Eyrie, Snaerfelt")</f>
        <v>Eerie Eyrie, Snaerfelt</v>
      </c>
    </row>
    <row r="62">
      <c r="A62" s="9" t="str">
        <f>IFERROR(__xludf.DUMMYFUNCTION("""COMPUTED_VALUE"""),"Glimmergrass")</f>
        <v>Glimmergrass</v>
      </c>
      <c r="B62" s="34"/>
      <c r="C62" s="31"/>
      <c r="D62" s="9" t="str">
        <f>IFERROR(__xludf.DUMMYFUNCTION("""COMPUTED_VALUE"""),"Dundrasil Region, Costa Valor, Champs Sauvage, Sniflheim Region, Snaerfelt, First Forest, Trial Isle")</f>
        <v>Dundrasil Region, Costa Valor, Champs Sauvage, Sniflheim Region, Snaerfelt, First Forest, Trial Isle</v>
      </c>
    </row>
    <row r="63">
      <c r="A63" s="13" t="str">
        <f>IFERROR(__xludf.DUMMYFUNCTION("""COMPUTED_VALUE"""),"Silkblossom")</f>
        <v>Silkblossom</v>
      </c>
      <c r="B63" s="30" t="str">
        <f>IFERROR(__xludf.DUMMYFUNCTION("""COMPUTED_VALUE"""),"Dundrasil &amp; Sniflheim Camp")</f>
        <v>Dundrasil &amp; Sniflheim Camp</v>
      </c>
      <c r="C63" s="32">
        <f>IFERROR(__xludf.DUMMYFUNCTION("""COMPUTED_VALUE"""),1000.0)</f>
        <v>1000</v>
      </c>
      <c r="D63" s="13" t="str">
        <f>IFERROR(__xludf.DUMMYFUNCTION("""COMPUTED_VALUE"""),"Dundrasil Region, Sniflheim Region, Snaerfelt, Arborian Highlands, First Forest")</f>
        <v>Dundrasil Region, Sniflheim Region, Snaerfelt, Arborian Highlands, First Forest</v>
      </c>
    </row>
    <row r="64">
      <c r="A64" s="9" t="str">
        <f>IFERROR(__xludf.DUMMYFUNCTION("""COMPUTED_VALUE"""),"Flaxen Thread")</f>
        <v>Flaxen Thread</v>
      </c>
      <c r="B64" s="37" t="str">
        <f>IFERROR(__xludf.DUMMYFUNCTION("""COMPUTED_VALUE"""),"Emerald Coast &amp; Hotto Steppe Camp")</f>
        <v>Emerald Coast &amp; Hotto Steppe Camp</v>
      </c>
      <c r="C64" s="31">
        <f>IFERROR(__xludf.DUMMYFUNCTION("""COMPUTED_VALUE"""),40.0)</f>
        <v>40</v>
      </c>
      <c r="D64" s="9" t="str">
        <f>IFERROR(__xludf.DUMMYFUNCTION("""COMPUTED_VALUE"""),"Emerald Coast, Hotto Steppe, Laguna di Gondolia, Costa Valor")</f>
        <v>Emerald Coast, Hotto Steppe, Laguna di Gondolia, Costa Valor</v>
      </c>
    </row>
    <row r="65">
      <c r="A65" s="13" t="str">
        <f>IFERROR(__xludf.DUMMYFUNCTION("""COMPUTED_VALUE"""),"Celestial Skein")</f>
        <v>Celestial Skein</v>
      </c>
      <c r="B65" s="30" t="str">
        <f>IFERROR(__xludf.DUMMYFUNCTION("""COMPUTED_VALUE"""),"Laguna di Gondolia Camp &amp; Warriors Rest")</f>
        <v>Laguna di Gondolia Camp &amp; Warriors Rest</v>
      </c>
      <c r="C65" s="30">
        <f>IFERROR(__xludf.DUMMYFUNCTION("""COMPUTED_VALUE"""),230.0)</f>
        <v>230</v>
      </c>
      <c r="D65" s="13" t="str">
        <f>IFERROR(__xludf.DUMMYFUNCTION("""COMPUTED_VALUE"""),"Laguna di Gondolia, Grotta della Fonte, Zwaardsrust Region, Champs Sauvage, Eerie Eyrie")</f>
        <v>Laguna di Gondolia, Grotta della Fonte, Zwaardsrust Region, Champs Sauvage, Eerie Eyrie</v>
      </c>
    </row>
    <row r="66">
      <c r="A66" s="9" t="str">
        <f>IFERROR(__xludf.DUMMYFUNCTION("""COMPUTED_VALUE"""),"Evencloth")</f>
        <v>Evencloth</v>
      </c>
      <c r="B66" s="31" t="str">
        <f>IFERROR(__xludf.DUMMYFUNCTION("""COMPUTED_VALUE"""),"Snaerfelt Camp")</f>
        <v>Snaerfelt Camp</v>
      </c>
      <c r="C66" s="31">
        <f>IFERROR(__xludf.DUMMYFUNCTION("""COMPUTED_VALUE"""),560.0)</f>
        <v>560</v>
      </c>
      <c r="D66" s="9" t="str">
        <f>IFERROR(__xludf.DUMMYFUNCTION("""COMPUTED_VALUE"""),"Champs Sauvage, Other Side, Snaerfelt, Luminary's Trial")</f>
        <v>Champs Sauvage, Other Side, Snaerfelt, Luminary's Trial</v>
      </c>
    </row>
    <row r="67">
      <c r="A67" s="13" t="str">
        <f>IFERROR(__xludf.DUMMYFUNCTION("""COMPUTED_VALUE"""),"Colourful Cocoon")</f>
        <v>Colourful Cocoon</v>
      </c>
      <c r="B67" s="30" t="str">
        <f>IFERROR(__xludf.DUMMYFUNCTION("""COMPUTED_VALUE"""),"Havens Above &amp; Trial Isle")</f>
        <v>Havens Above &amp; Trial Isle</v>
      </c>
      <c r="C67" s="32">
        <f>IFERROR(__xludf.DUMMYFUNCTION("""COMPUTED_VALUE"""),2000.0)</f>
        <v>2000</v>
      </c>
      <c r="D67" s="13" t="str">
        <f>IFERROR(__xludf.DUMMYFUNCTION("""COMPUTED_VALUE"""),"Havens Above, Manglegrove - Whale Way, Laguna di Gondolia - Whale Way, Lost Land, Trial Isle")</f>
        <v>Havens Above, Manglegrove - Whale Way, Laguna di Gondolia - Whale Way, Lost Land, Trial Isle</v>
      </c>
    </row>
    <row r="68">
      <c r="A68" s="9" t="str">
        <f>IFERROR(__xludf.DUMMYFUNCTION("""COMPUTED_VALUE"""),"Technicolor Dreamcloth")</f>
        <v>Technicolor Dreamcloth</v>
      </c>
      <c r="B68" s="31" t="str">
        <f>IFERROR(__xludf.DUMMYFUNCTION("""COMPUTED_VALUE"""),"Havens Above &amp; Trial Isle")</f>
        <v>Havens Above &amp; Trial Isle</v>
      </c>
      <c r="C68" s="33">
        <f>IFERROR(__xludf.DUMMYFUNCTION("""COMPUTED_VALUE"""),2000.0)</f>
        <v>2000</v>
      </c>
      <c r="D68" s="9" t="str">
        <f>IFERROR(__xludf.DUMMYFUNCTION("""COMPUTED_VALUE"""),"First Forest - Whale Way, Lost Land, Trial Isle, Sage's Trial")</f>
        <v>First Forest - Whale Way, Lost Land, Trial Isle, Sage's Trial</v>
      </c>
    </row>
    <row r="69">
      <c r="A69" s="13" t="str">
        <f>IFERROR(__xludf.DUMMYFUNCTION("""COMPUTED_VALUE"""),"Kaleidocloth")</f>
        <v>Kaleidocloth</v>
      </c>
      <c r="B69" s="35"/>
      <c r="C69" s="30"/>
      <c r="D69" s="13" t="str">
        <f>IFERROR(__xludf.DUMMYFUNCTION("""COMPUTED_VALUE"""),"Exchange 1 Serpent's Soul with Krystalinda in Sniflheim Castle, Rare from Glacial Golem in Snaerfelt")</f>
        <v>Exchange 1 Serpent's Soul with Krystalinda in Sniflheim Castle, Rare from Glacial Golem in Snaerfelt</v>
      </c>
    </row>
    <row r="70">
      <c r="A70" s="9" t="str">
        <f>IFERROR(__xludf.DUMMYFUNCTION("""COMPUTED_VALUE"""),"Flurry Feather")</f>
        <v>Flurry Feather</v>
      </c>
      <c r="B70" s="37" t="str">
        <f>IFERROR(__xludf.DUMMYFUNCTION("""COMPUTED_VALUE"""),"Emerald Coast &amp; Hotto Steppe Camp")</f>
        <v>Emerald Coast &amp; Hotto Steppe Camp</v>
      </c>
      <c r="C70" s="31">
        <f>IFERROR(__xludf.DUMMYFUNCTION("""COMPUTED_VALUE"""),50.0)</f>
        <v>50</v>
      </c>
      <c r="D70" s="9" t="str">
        <f>IFERROR(__xludf.DUMMYFUNCTION("""COMPUTED_VALUE"""),"Cobblestone, Heliodorian Foothills, Manglegrove, Emerald Coast, Hotto Steppe, Laguna di Gondolia, Dundrasil Region, Eerie Eyrie")</f>
        <v>Cobblestone, Heliodorian Foothills, Manglegrove, Emerald Coast, Hotto Steppe, Laguna di Gondolia, Dundrasil Region, Eerie Eyrie</v>
      </c>
    </row>
    <row r="71">
      <c r="A71" s="13" t="str">
        <f>IFERROR(__xludf.DUMMYFUNCTION("""COMPUTED_VALUE"""),"Buzzberries")</f>
        <v>Buzzberries</v>
      </c>
      <c r="B71" s="30" t="str">
        <f>IFERROR(__xludf.DUMMYFUNCTION("""COMPUTED_VALUE"""),"Emerald Coast Camp")</f>
        <v>Emerald Coast Camp</v>
      </c>
      <c r="C71" s="30">
        <f>IFERROR(__xludf.DUMMYFUNCTION("""COMPUTED_VALUE"""),60.0)</f>
        <v>60</v>
      </c>
      <c r="D71" s="13" t="str">
        <f>IFERROR(__xludf.DUMMYFUNCTION("""COMPUTED_VALUE"""),"Heliodorian Foothills, Manglegrove, Emerald Coast, Dundrasil Region")</f>
        <v>Heliodorian Foothills, Manglegrove, Emerald Coast, Dundrasil Region</v>
      </c>
    </row>
    <row r="72">
      <c r="A72" s="9" t="str">
        <f>IFERROR(__xludf.DUMMYFUNCTION("""COMPUTED_VALUE"""),"Butterfly Wing")</f>
        <v>Butterfly Wing</v>
      </c>
      <c r="B72" s="31" t="str">
        <f>IFERROR(__xludf.DUMMYFUNCTION("""COMPUTED_VALUE"""),"Gallolopis South Camp")</f>
        <v>Gallolopis South Camp</v>
      </c>
      <c r="C72" s="31">
        <f>IFERROR(__xludf.DUMMYFUNCTION("""COMPUTED_VALUE"""),180.0)</f>
        <v>180</v>
      </c>
      <c r="D72" s="9" t="str">
        <f>IFERROR(__xludf.DUMMYFUNCTION("""COMPUTED_VALUE"""),"Heliodorian Foothills, Emerald Coast, Gallopolis Region, Dundrasil Region, Costa Valor, Arborian Highlands")</f>
        <v>Heliodorian Foothills, Emerald Coast, Gallopolis Region, Dundrasil Region, Costa Valor, Arborian Highlands</v>
      </c>
    </row>
    <row r="73">
      <c r="A73" s="13" t="str">
        <f>IFERROR(__xludf.DUMMYFUNCTION("""COMPUTED_VALUE"""),"Cherry Blossom Petal")</f>
        <v>Cherry Blossom Petal</v>
      </c>
      <c r="B73" s="30" t="str">
        <f>IFERROR(__xludf.DUMMYFUNCTION("""COMPUTED_VALUE"""),"L'Academie")</f>
        <v>L'Academie</v>
      </c>
      <c r="C73" s="30">
        <f>IFERROR(__xludf.DUMMYFUNCTION("""COMPUTED_VALUE"""),160.0)</f>
        <v>160</v>
      </c>
      <c r="D73" s="13" t="str">
        <f>IFERROR(__xludf.DUMMYFUNCTION("""COMPUTED_VALUE"""),"Insula Centralis")</f>
        <v>Insula Centralis</v>
      </c>
    </row>
    <row r="74">
      <c r="A74" s="9" t="str">
        <f>IFERROR(__xludf.DUMMYFUNCTION("""COMPUTED_VALUE"""),"Hardy Hide")</f>
        <v>Hardy Hide</v>
      </c>
      <c r="B74" s="37" t="str">
        <f>IFERROR(__xludf.DUMMYFUNCTION("""COMPUTED_VALUE"""),"Emerald Coast &amp; Hotto Steppe Camp")</f>
        <v>Emerald Coast &amp; Hotto Steppe Camp</v>
      </c>
      <c r="C74" s="31">
        <f>IFERROR(__xludf.DUMMYFUNCTION("""COMPUTED_VALUE"""),100.0)</f>
        <v>100</v>
      </c>
      <c r="D74" s="9" t="str">
        <f>IFERROR(__xludf.DUMMYFUNCTION("""COMPUTED_VALUE"""),"Emerald Coast, Kingsbarrow, Hotto Steppe")</f>
        <v>Emerald Coast, Kingsbarrow, Hotto Steppe</v>
      </c>
    </row>
    <row r="75">
      <c r="A75" s="13" t="str">
        <f>IFERROR(__xludf.DUMMYFUNCTION("""COMPUTED_VALUE"""),"Fine Fur")</f>
        <v>Fine Fur</v>
      </c>
      <c r="B75" s="30" t="str">
        <f>IFERROR(__xludf.DUMMYFUNCTION("""COMPUTED_VALUE"""),"Dundrasil Camp")</f>
        <v>Dundrasil Camp</v>
      </c>
      <c r="C75" s="30">
        <f>IFERROR(__xludf.DUMMYFUNCTION("""COMPUTED_VALUE"""),300.0)</f>
        <v>300</v>
      </c>
      <c r="D75" s="13" t="str">
        <f>IFERROR(__xludf.DUMMYFUNCTION("""COMPUTED_VALUE"""),"Dundrasil Region")</f>
        <v>Dundrasil Region</v>
      </c>
    </row>
    <row r="76">
      <c r="A76" s="9" t="str">
        <f>IFERROR(__xludf.DUMMYFUNCTION("""COMPUTED_VALUE"""),"Magic Beast Hide")</f>
        <v>Magic Beast Hide</v>
      </c>
      <c r="B76" s="31" t="str">
        <f>IFERROR(__xludf.DUMMYFUNCTION("""COMPUTED_VALUE"""),"Laguna di Gondolia &amp; Dundrasil Camp")</f>
        <v>Laguna di Gondolia &amp; Dundrasil Camp</v>
      </c>
      <c r="C76" s="31">
        <f>IFERROR(__xludf.DUMMYFUNCTION("""COMPUTED_VALUE"""),500.0)</f>
        <v>500</v>
      </c>
      <c r="D76" s="9" t="str">
        <f>IFERROR(__xludf.DUMMYFUNCTION("""COMPUTED_VALUE"""),"Laguna di Gondolia, Dundrasil Region")</f>
        <v>Laguna di Gondolia, Dundrasil Region</v>
      </c>
    </row>
    <row r="77">
      <c r="A77" s="13" t="str">
        <f>IFERROR(__xludf.DUMMYFUNCTION("""COMPUTED_VALUE"""),"Lambswool")</f>
        <v>Lambswool</v>
      </c>
      <c r="B77" s="30" t="str">
        <f>IFERROR(__xludf.DUMMYFUNCTION("""COMPUTED_VALUE"""),"Angri-La")</f>
        <v>Angri-La</v>
      </c>
      <c r="C77" s="30">
        <f>IFERROR(__xludf.DUMMYFUNCTION("""COMPUTED_VALUE"""),640.0)</f>
        <v>640</v>
      </c>
      <c r="D77" s="13" t="str">
        <f>IFERROR(__xludf.DUMMYFUNCTION("""COMPUTED_VALUE"""),"Angri-La")</f>
        <v>Angri-La</v>
      </c>
    </row>
    <row r="78">
      <c r="A78" s="9" t="str">
        <f>IFERROR(__xludf.DUMMYFUNCTION("""COMPUTED_VALUE"""),"Dragon Hide")</f>
        <v>Dragon Hide</v>
      </c>
      <c r="B78" s="31" t="str">
        <f>IFERROR(__xludf.DUMMYFUNCTION("""COMPUTED_VALUE"""),"Angri-La")</f>
        <v>Angri-La</v>
      </c>
      <c r="C78" s="31">
        <f>IFERROR(__xludf.DUMMYFUNCTION("""COMPUTED_VALUE"""),880.0)</f>
        <v>880</v>
      </c>
      <c r="D78" s="9" t="str">
        <f>IFERROR(__xludf.DUMMYFUNCTION("""COMPUTED_VALUE"""),"Dundrasil Region, Champs Sauvage, Angri-La")</f>
        <v>Dundrasil Region, Champs Sauvage, Angri-La</v>
      </c>
    </row>
    <row r="79">
      <c r="A79" s="13" t="str">
        <f>IFERROR(__xludf.DUMMYFUNCTION("""COMPUTED_VALUE"""),"Serpent Skin")</f>
        <v>Serpent Skin</v>
      </c>
      <c r="B79" s="30" t="str">
        <f>IFERROR(__xludf.DUMMYFUNCTION("""COMPUTED_VALUE"""),"Trial Isle")</f>
        <v>Trial Isle</v>
      </c>
      <c r="C79" s="32">
        <f>IFERROR(__xludf.DUMMYFUNCTION("""COMPUTED_VALUE"""),3700.0)</f>
        <v>3700</v>
      </c>
      <c r="D79" s="13" t="str">
        <f>IFERROR(__xludf.DUMMYFUNCTION("""COMPUTED_VALUE"""),"Common from Malicious Black Dragon in Heliodor Region")</f>
        <v>Common from Malicious Black Dragon in Heliodor Region</v>
      </c>
    </row>
    <row r="80">
      <c r="A80" s="9" t="str">
        <f>IFERROR(__xludf.DUMMYFUNCTION("""COMPUTED_VALUE"""),"Small Scale")</f>
        <v>Small Scale</v>
      </c>
      <c r="B80" s="31" t="str">
        <f>IFERROR(__xludf.DUMMYFUNCTION("""COMPUTED_VALUE"""),"Manglegrove &amp; Nautica")</f>
        <v>Manglegrove &amp; Nautica</v>
      </c>
      <c r="C80" s="31">
        <f>IFERROR(__xludf.DUMMYFUNCTION("""COMPUTED_VALUE"""),60.0)</f>
        <v>60</v>
      </c>
      <c r="D80" s="9" t="str">
        <f>IFERROR(__xludf.DUMMYFUNCTION("""COMPUTED_VALUE"""),"Heliodorian Foothills, Manglegrove, Gallopolis Region, Grotta della Fonte")</f>
        <v>Heliodorian Foothills, Manglegrove, Gallopolis Region, Grotta della Fonte</v>
      </c>
    </row>
    <row r="81">
      <c r="A81" s="13" t="str">
        <f>IFERROR(__xludf.DUMMYFUNCTION("""COMPUTED_VALUE"""),"Large Scale")</f>
        <v>Large Scale</v>
      </c>
      <c r="B81" s="30" t="str">
        <f>IFERROR(__xludf.DUMMYFUNCTION("""COMPUTED_VALUE"""),"Nautica")</f>
        <v>Nautica</v>
      </c>
      <c r="C81" s="30">
        <f>IFERROR(__xludf.DUMMYFUNCTION("""COMPUTED_VALUE"""),380.0)</f>
        <v>380</v>
      </c>
      <c r="D81" s="13" t="str">
        <f>IFERROR(__xludf.DUMMYFUNCTION("""COMPUTED_VALUE"""),"Nautica")</f>
        <v>Nautica</v>
      </c>
    </row>
    <row r="82">
      <c r="A82" s="9" t="str">
        <f>IFERROR(__xludf.DUMMYFUNCTION("""COMPUTED_VALUE"""),"Beast Bone")</f>
        <v>Beast Bone</v>
      </c>
      <c r="B82" s="31" t="str">
        <f>IFERROR(__xludf.DUMMYFUNCTION("""COMPUTED_VALUE"""),"Gallopolis South Camp")</f>
        <v>Gallopolis South Camp</v>
      </c>
      <c r="C82" s="31">
        <f>IFERROR(__xludf.DUMMYFUNCTION("""COMPUTED_VALUE"""),100.0)</f>
        <v>100</v>
      </c>
      <c r="D82" s="9" t="str">
        <f>IFERROR(__xludf.DUMMYFUNCTION("""COMPUTED_VALUE"""),"Heliodorian Foothills, Hotto Steppe, Gallopolis Region")</f>
        <v>Heliodorian Foothills, Hotto Steppe, Gallopolis Region</v>
      </c>
    </row>
    <row r="83">
      <c r="A83" s="13" t="str">
        <f>IFERROR(__xludf.DUMMYFUNCTION("""COMPUTED_VALUE"""),"Big Bone")</f>
        <v>Big Bone</v>
      </c>
      <c r="B83" s="30" t="str">
        <f>IFERROR(__xludf.DUMMYFUNCTION("""COMPUTED_VALUE"""),"Costa Valor Camp")</f>
        <v>Costa Valor Camp</v>
      </c>
      <c r="C83" s="30">
        <f>IFERROR(__xludf.DUMMYFUNCTION("""COMPUTED_VALUE"""),400.0)</f>
        <v>400</v>
      </c>
      <c r="D83" s="13" t="str">
        <f>IFERROR(__xludf.DUMMYFUNCTION("""COMPUTED_VALUE"""),"Costa Valor")</f>
        <v>Costa Valor</v>
      </c>
    </row>
    <row r="84">
      <c r="A84" s="9" t="str">
        <f>IFERROR(__xludf.DUMMYFUNCTION("""COMPUTED_VALUE"""),"Serpent Bone")</f>
        <v>Serpent Bone</v>
      </c>
      <c r="B84" s="31" t="str">
        <f>IFERROR(__xludf.DUMMYFUNCTION("""COMPUTED_VALUE"""),"Trial Isle")</f>
        <v>Trial Isle</v>
      </c>
      <c r="C84" s="33">
        <f>IFERROR(__xludf.DUMMYFUNCTION("""COMPUTED_VALUE"""),1160.0)</f>
        <v>1160</v>
      </c>
      <c r="D84" s="38" t="str">
        <f>IFERROR(__xludf.DUMMYFUNCTION("""COMPUTED_VALUE"""),"Common: Vicious Hellrider")</f>
        <v>Common: Vicious Hellrider</v>
      </c>
    </row>
    <row r="85">
      <c r="A85" s="13" t="str">
        <f>IFERROR(__xludf.DUMMYFUNCTION("""COMPUTED_VALUE"""),"Twisted Talons")</f>
        <v>Twisted Talons</v>
      </c>
      <c r="B85" s="30" t="str">
        <f>IFERROR(__xludf.DUMMYFUNCTION("""COMPUTED_VALUE"""),"Champs Sauvage Camp")</f>
        <v>Champs Sauvage Camp</v>
      </c>
      <c r="C85" s="30">
        <f>IFERROR(__xludf.DUMMYFUNCTION("""COMPUTED_VALUE"""),950.0)</f>
        <v>950</v>
      </c>
      <c r="D85" s="13" t="str">
        <f>IFERROR(__xludf.DUMMYFUNCTION("""COMPUTED_VALUE"""),"Common: Grim Gyphon, Pteranodon, Terrornodon, Silver Sabrecat, Snotbonce, Bilebonnet")</f>
        <v>Common: Grim Gyphon, Pteranodon, Terrornodon, Silver Sabrecat, Snotbonce, Bilebonnet</v>
      </c>
    </row>
    <row r="86">
      <c r="A86" s="9" t="str">
        <f>IFERROR(__xludf.DUMMYFUNCTION("""COMPUTED_VALUE"""),"Magic Beast Horn")</f>
        <v>Magic Beast Horn</v>
      </c>
      <c r="B86" s="31" t="str">
        <f>IFERROR(__xludf.DUMMYFUNCTION("""COMPUTED_VALUE"""),"Sniflheim Camp")</f>
        <v>Sniflheim Camp</v>
      </c>
      <c r="C86" s="31">
        <f>IFERROR(__xludf.DUMMYFUNCTION("""COMPUTED_VALUE"""),440.0)</f>
        <v>440</v>
      </c>
      <c r="D86" s="38" t="str">
        <f>IFERROR(__xludf.DUMMYFUNCTION("""COMPUTED_VALUE"""),"Common: Spiked Hare, Jowler, Moosifer")</f>
        <v>Common: Spiked Hare, Jowler, Moosifer</v>
      </c>
    </row>
    <row r="87">
      <c r="A87" s="13" t="str">
        <f>IFERROR(__xludf.DUMMYFUNCTION("""COMPUTED_VALUE"""),"Dragon Horn")</f>
        <v>Dragon Horn</v>
      </c>
      <c r="B87" s="30" t="str">
        <f>IFERROR(__xludf.DUMMYFUNCTION("""COMPUTED_VALUE"""),"Angri-La")</f>
        <v>Angri-La</v>
      </c>
      <c r="C87" s="32">
        <f>IFERROR(__xludf.DUMMYFUNCTION("""COMPUTED_VALUE"""),1080.0)</f>
        <v>1080</v>
      </c>
      <c r="D87" s="13" t="str">
        <f>IFERROR(__xludf.DUMMYFUNCTION("""COMPUTED_VALUE"""),"Champs Sauvage, Angri-La, Hotto Steppe - Northern Whale Way")</f>
        <v>Champs Sauvage, Angri-La, Hotto Steppe - Northern Whale Way</v>
      </c>
    </row>
    <row r="88">
      <c r="A88" s="9" t="str">
        <f>IFERROR(__xludf.DUMMYFUNCTION("""COMPUTED_VALUE"""),"Sun-Bleached Seashell")</f>
        <v>Sun-Bleached Seashell</v>
      </c>
      <c r="B88" s="31" t="str">
        <f>IFERROR(__xludf.DUMMYFUNCTION("""COMPUTED_VALUE"""),"Nautica")</f>
        <v>Nautica</v>
      </c>
      <c r="C88" s="31">
        <f>IFERROR(__xludf.DUMMYFUNCTION("""COMPUTED_VALUE"""),340.0)</f>
        <v>340</v>
      </c>
      <c r="D88" s="9" t="str">
        <f>IFERROR(__xludf.DUMMYFUNCTION("""COMPUTED_VALUE"""),"The Strand")</f>
        <v>The Strand</v>
      </c>
    </row>
    <row r="89">
      <c r="A89" s="13" t="str">
        <f>IFERROR(__xludf.DUMMYFUNCTION("""COMPUTED_VALUE"""),"Crimson Coral")</f>
        <v>Crimson Coral</v>
      </c>
      <c r="B89" s="30" t="str">
        <f>IFERROR(__xludf.DUMMYFUNCTION("""COMPUTED_VALUE"""),"Costa Valor Camp &amp; Nautica")</f>
        <v>Costa Valor Camp &amp; Nautica</v>
      </c>
      <c r="C89" s="30">
        <f>IFERROR(__xludf.DUMMYFUNCTION("""COMPUTED_VALUE"""),360.0)</f>
        <v>360</v>
      </c>
      <c r="D89" s="13" t="str">
        <f>IFERROR(__xludf.DUMMYFUNCTION("""COMPUTED_VALUE"""),"Costa Valor, Saikiki Beach")</f>
        <v>Costa Valor, Saikiki Beach</v>
      </c>
    </row>
    <row r="90">
      <c r="A90" s="9" t="str">
        <f>IFERROR(__xludf.DUMMYFUNCTION("""COMPUTED_VALUE"""),"Maiden's Favor")</f>
        <v>Maiden's Favor</v>
      </c>
      <c r="B90" s="31" t="str">
        <f>IFERROR(__xludf.DUMMYFUNCTION("""COMPUTED_VALUE"""),"Puerto Valor")</f>
        <v>Puerto Valor</v>
      </c>
      <c r="C90" s="31">
        <f>IFERROR(__xludf.DUMMYFUNCTION("""COMPUTED_VALUE"""),280.0)</f>
        <v>280</v>
      </c>
      <c r="D90" s="9" t="str">
        <f>IFERROR(__xludf.DUMMYFUNCTION("""COMPUTED_VALUE"""),"Costa Valor")</f>
        <v>Costa Valor</v>
      </c>
    </row>
    <row r="91">
      <c r="A91" s="13" t="str">
        <f>IFERROR(__xludf.DUMMYFUNCTION("""COMPUTED_VALUE"""),"Tiny Tortoise Shell")</f>
        <v>Tiny Tortoise Shell</v>
      </c>
      <c r="B91" s="30" t="str">
        <f>IFERROR(__xludf.DUMMYFUNCTION("""COMPUTED_VALUE"""),"Warriors Rest Inn &amp; Costa Valor Camp")</f>
        <v>Warriors Rest Inn &amp; Costa Valor Camp</v>
      </c>
      <c r="C91" s="30">
        <f>IFERROR(__xludf.DUMMYFUNCTION("""COMPUTED_VALUE"""),250.0)</f>
        <v>250</v>
      </c>
      <c r="D91" s="13" t="str">
        <f>IFERROR(__xludf.DUMMYFUNCTION("""COMPUTED_VALUE"""),"Zwaardsrust Region, Costa Valor, Eerie Eyrie")</f>
        <v>Zwaardsrust Region, Costa Valor, Eerie Eyrie</v>
      </c>
    </row>
    <row r="92">
      <c r="A92" s="9" t="str">
        <f>IFERROR(__xludf.DUMMYFUNCTION("""COMPUTED_VALUE"""),"Cowpat")</f>
        <v>Cowpat</v>
      </c>
      <c r="B92" s="31"/>
      <c r="C92" s="34"/>
      <c r="D92" s="38"/>
    </row>
    <row r="93">
      <c r="A93" s="13" t="str">
        <f>IFERROR(__xludf.DUMMYFUNCTION("""COMPUTED_VALUE"""),"Horse Manure")</f>
        <v>Horse Manure</v>
      </c>
      <c r="B93" s="30"/>
      <c r="C93" s="35"/>
      <c r="D93" s="36" t="str">
        <f>IFERROR(__xludf.DUMMYFUNCTION("""COMPUTED_VALUE"""),"Common: Tantamount, Equinox, Godsteed")</f>
        <v>Common: Tantamount, Equinox, Godsteed</v>
      </c>
    </row>
    <row r="94">
      <c r="A94" s="9" t="str">
        <f>IFERROR(__xludf.DUMMYFUNCTION("""COMPUTED_VALUE"""),"Slimedrop")</f>
        <v>Slimedrop</v>
      </c>
      <c r="B94" s="34"/>
      <c r="C94" s="31"/>
      <c r="D94" s="9" t="str">
        <f>IFERROR(__xludf.DUMMYFUNCTION("""COMPUTED_VALUE"""),"Common: Slime Knight, King Slime")</f>
        <v>Common: Slime Knight, King Slime</v>
      </c>
    </row>
    <row r="95">
      <c r="A95" s="13" t="str">
        <f>IFERROR(__xludf.DUMMYFUNCTION("""COMPUTED_VALUE"""),"Goobricant")</f>
        <v>Goobricant</v>
      </c>
      <c r="B95" s="35"/>
      <c r="C95" s="30"/>
      <c r="D95" s="13" t="str">
        <f>IFERROR(__xludf.DUMMYFUNCTION("""COMPUTED_VALUE"""),"Common: Slick Slime, King Cureslime")</f>
        <v>Common: Slick Slime, King Cureslime</v>
      </c>
    </row>
    <row r="96">
      <c r="A96" s="9" t="str">
        <f>IFERROR(__xludf.DUMMYFUNCTION("""COMPUTED_VALUE"""),"Slime Crown")</f>
        <v>Slime Crown</v>
      </c>
      <c r="B96" s="31" t="str">
        <f>IFERROR(__xludf.DUMMYFUNCTION("""COMPUTED_VALUE"""),"Octagonia Casino")</f>
        <v>Octagonia Casino</v>
      </c>
      <c r="C96" s="31" t="str">
        <f>IFERROR(__xludf.DUMMYFUNCTION("""COMPUTED_VALUE"""),"50,000 Tokens")</f>
        <v>50,000 Tokens</v>
      </c>
      <c r="D96" s="9" t="str">
        <f>IFERROR(__xludf.DUMMYFUNCTION("""COMPUTED_VALUE"""),"Common: Vicious Metal King Slime, Rare:  King Slime, King Cureslime, Metal King Slime")</f>
        <v>Common: Vicious Metal King Slime, Rare:  King Slime, King Cureslime, Metal King Slime</v>
      </c>
    </row>
    <row r="97">
      <c r="A97" s="13" t="str">
        <f>IFERROR(__xludf.DUMMYFUNCTION("""COMPUTED_VALUE"""),"Fresh Water")</f>
        <v>Fresh Water</v>
      </c>
      <c r="B97" s="30" t="str">
        <f>IFERROR(__xludf.DUMMYFUNCTION("""COMPUTED_VALUE"""),"Manglegrove")</f>
        <v>Manglegrove</v>
      </c>
      <c r="C97" s="30">
        <f>IFERROR(__xludf.DUMMYFUNCTION("""COMPUTED_VALUE"""),65.0)</f>
        <v>65</v>
      </c>
      <c r="D97" s="13" t="str">
        <f>IFERROR(__xludf.DUMMYFUNCTION("""COMPUTED_VALUE"""),"Cobblestone, Heliodor Region, Manglegrove, Emerald Cosat, Laguna di Gondolia, Grotta della Fonte, Champs Sauvage, Pang Lai")</f>
        <v>Cobblestone, Heliodor Region, Manglegrove, Emerald Cosat, Laguna di Gondolia, Grotta della Fonte, Champs Sauvage, Pang Lai</v>
      </c>
    </row>
    <row r="98">
      <c r="A98" s="9" t="str">
        <f>IFERROR(__xludf.DUMMYFUNCTION("""COMPUTED_VALUE"""),"Oasis Water")</f>
        <v>Oasis Water</v>
      </c>
      <c r="B98" s="31" t="str">
        <f>IFERROR(__xludf.DUMMYFUNCTION("""COMPUTED_VALUE"""),"Gallopolis North Camp")</f>
        <v>Gallopolis North Camp</v>
      </c>
      <c r="C98" s="31">
        <f>IFERROR(__xludf.DUMMYFUNCTION("""COMPUTED_VALUE"""),170.0)</f>
        <v>170</v>
      </c>
      <c r="D98" s="9" t="str">
        <f>IFERROR(__xludf.DUMMYFUNCTION("""COMPUTED_VALUE"""),"Gallopolis Region")</f>
        <v>Gallopolis Region</v>
      </c>
    </row>
    <row r="99">
      <c r="A99" s="13" t="str">
        <f>IFERROR(__xludf.DUMMYFUNCTION("""COMPUTED_VALUE"""),"Rippledrops")</f>
        <v>Rippledrops</v>
      </c>
      <c r="B99" s="35"/>
      <c r="C99" s="30"/>
      <c r="D99" s="13" t="str">
        <f>IFERROR(__xludf.DUMMYFUNCTION("""COMPUTED_VALUE"""),"Lonalulu")</f>
        <v>Lonalulu</v>
      </c>
    </row>
    <row r="100">
      <c r="A100" s="9" t="str">
        <f>IFERROR(__xludf.DUMMYFUNCTION("""COMPUTED_VALUE"""),"Finessence")</f>
        <v>Finessence</v>
      </c>
      <c r="B100" s="31" t="str">
        <f>IFERROR(__xludf.DUMMYFUNCTION("""COMPUTED_VALUE"""),"Octagonia")</f>
        <v>Octagonia</v>
      </c>
      <c r="C100" s="31">
        <f>IFERROR(__xludf.DUMMYFUNCTION("""COMPUTED_VALUE"""),680.0)</f>
        <v>680</v>
      </c>
      <c r="D100" s="38" t="str">
        <f>IFERROR(__xludf.DUMMYFUNCTION("""COMPUTED_VALUE"""),"Common: Jockilles, Jerkules")</f>
        <v>Common: Jockilles, Jerkules</v>
      </c>
    </row>
    <row r="101">
      <c r="A101" s="13" t="str">
        <f>IFERROR(__xludf.DUMMYFUNCTION("""COMPUTED_VALUE"""),"Permasnow")</f>
        <v>Permasnow</v>
      </c>
      <c r="B101" s="35"/>
      <c r="C101" s="30"/>
      <c r="D101" s="13" t="str">
        <f>IFERROR(__xludf.DUMMYFUNCTION("""COMPUTED_VALUE"""),"Sniflheim Region, Snaerfelt, Hekswood")</f>
        <v>Sniflheim Region, Snaerfelt, Hekswood</v>
      </c>
    </row>
    <row r="102">
      <c r="A102" s="9" t="str">
        <f>IFERROR(__xludf.DUMMYFUNCTION("""COMPUTED_VALUE"""),"Ice Crystal")</f>
        <v>Ice Crystal</v>
      </c>
      <c r="B102" s="34"/>
      <c r="C102" s="31"/>
      <c r="D102" s="9" t="str">
        <f>IFERROR(__xludf.DUMMYFUNCTION("""COMPUTED_VALUE"""),"Sniflheim Region, Sniflheim - Whale Way, Trial Isle")</f>
        <v>Sniflheim Region, Sniflheim - Whale Way, Trial Isle</v>
      </c>
    </row>
    <row r="103">
      <c r="A103" s="13" t="str">
        <f>IFERROR(__xludf.DUMMYFUNCTION("""COMPUTED_VALUE"""),"Duneberry")</f>
        <v>Duneberry</v>
      </c>
      <c r="B103" s="30" t="str">
        <f>IFERROR(__xludf.DUMMYFUNCTION("""COMPUTED_VALUE"""),"Gallopolis North Camp")</f>
        <v>Gallopolis North Camp</v>
      </c>
      <c r="C103" s="30">
        <f>IFERROR(__xludf.DUMMYFUNCTION("""COMPUTED_VALUE"""),150.0)</f>
        <v>150</v>
      </c>
      <c r="D103" s="13" t="str">
        <f>IFERROR(__xludf.DUMMYFUNCTION("""COMPUTED_VALUE"""),"Gallopolis Region")</f>
        <v>Gallopolis Region</v>
      </c>
    </row>
    <row r="104">
      <c r="A104" s="9" t="str">
        <f>IFERROR(__xludf.DUMMYFUNCTION("""COMPUTED_VALUE"""),"Water Sedge")</f>
        <v>Water Sedge</v>
      </c>
      <c r="B104" s="31" t="str">
        <f>IFERROR(__xludf.DUMMYFUNCTION("""COMPUTED_VALUE"""),"Heliodor Region Camp")</f>
        <v>Heliodor Region Camp</v>
      </c>
      <c r="C104" s="31">
        <f>IFERROR(__xludf.DUMMYFUNCTION("""COMPUTED_VALUE"""),160.0)</f>
        <v>160</v>
      </c>
      <c r="D104" s="9" t="str">
        <f>IFERROR(__xludf.DUMMYFUNCTION("""COMPUTED_VALUE"""),"Heliodor Region, Emerald Coast")</f>
        <v>Heliodor Region, Emerald Coast</v>
      </c>
    </row>
    <row r="105">
      <c r="A105" s="13" t="str">
        <f>IFERROR(__xludf.DUMMYFUNCTION("""COMPUTED_VALUE"""),"Sparkly Sap")</f>
        <v>Sparkly Sap</v>
      </c>
      <c r="B105" s="30" t="str">
        <f>IFERROR(__xludf.DUMMYFUNCTION("""COMPUTED_VALUE"""),"L'Academie")</f>
        <v>L'Academie</v>
      </c>
      <c r="C105" s="30">
        <f>IFERROR(__xludf.DUMMYFUNCTION("""COMPUTED_VALUE"""),400.0)</f>
        <v>400</v>
      </c>
      <c r="D105" s="13" t="str">
        <f>IFERROR(__xludf.DUMMYFUNCTION("""COMPUTED_VALUE"""),"Emerald Coast, Dundrasil Region, Costa Valor, Champs Sauvage, Sniflheim Region, Trial Region")</f>
        <v>Emerald Coast, Dundrasil Region, Costa Valor, Champs Sauvage, Sniflheim Region, Trial Region</v>
      </c>
    </row>
    <row r="106">
      <c r="A106" s="9" t="str">
        <f>IFERROR(__xludf.DUMMYFUNCTION("""COMPUTED_VALUE"""),"Wing of Bat")</f>
        <v>Wing of Bat</v>
      </c>
      <c r="B106" s="34"/>
      <c r="C106" s="31"/>
      <c r="D106" s="9" t="str">
        <f>IFERROR(__xludf.DUMMYFUNCTION("""COMPUTED_VALUE"""),"Heliodor Sewers, Kingsbarrow, Gallopolis Region")</f>
        <v>Heliodor Sewers, Kingsbarrow, Gallopolis Region</v>
      </c>
    </row>
    <row r="107">
      <c r="A107" s="13" t="str">
        <f>IFERROR(__xludf.DUMMYFUNCTION("""COMPUTED_VALUE"""),"Lamplight")</f>
        <v>Lamplight</v>
      </c>
      <c r="B107" s="30" t="str">
        <f>IFERROR(__xludf.DUMMYFUNCTION("""COMPUTED_VALUE"""),"Gallopolis North Camp")</f>
        <v>Gallopolis North Camp</v>
      </c>
      <c r="C107" s="30">
        <f>IFERROR(__xludf.DUMMYFUNCTION("""COMPUTED_VALUE"""),400.0)</f>
        <v>400</v>
      </c>
      <c r="D107" s="13" t="str">
        <f>IFERROR(__xludf.DUMMYFUNCTION("""COMPUTED_VALUE"""),"Gallopolis Region")</f>
        <v>Gallopolis Region</v>
      </c>
    </row>
    <row r="108">
      <c r="A108" s="9" t="str">
        <f>IFERROR(__xludf.DUMMYFUNCTION("""COMPUTED_VALUE"""),"Toad Oil")</f>
        <v>Toad Oil</v>
      </c>
      <c r="B108" s="34"/>
      <c r="C108" s="31"/>
      <c r="D108" s="9" t="str">
        <f>IFERROR(__xludf.DUMMYFUNCTION("""COMPUTED_VALUE"""),"Common: Toady, Toxic Toad, Overtoad")</f>
        <v>Common: Toady, Toxic Toad, Overtoad</v>
      </c>
    </row>
    <row r="109">
      <c r="A109" s="13" t="str">
        <f>IFERROR(__xludf.DUMMYFUNCTION("""COMPUTED_VALUE"""),"Belle Cap")</f>
        <v>Belle Cap</v>
      </c>
      <c r="B109" s="35"/>
      <c r="C109" s="30"/>
      <c r="D109" s="13" t="str">
        <f>IFERROR(__xludf.DUMMYFUNCTION("""COMPUTED_VALUE"""),"Manglegrove, First Forest, Common: Morphean Mushroom, Mushroom Mage")</f>
        <v>Manglegrove, First Forest, Common: Morphean Mushroom, Mushroom Mage</v>
      </c>
    </row>
    <row r="110">
      <c r="A110" s="9" t="str">
        <f>IFERROR(__xludf.DUMMYFUNCTION("""COMPUTED_VALUE"""),"Snakeskin")</f>
        <v>Snakeskin</v>
      </c>
      <c r="B110" s="34"/>
      <c r="C110" s="31"/>
      <c r="D110" s="9" t="str">
        <f>IFERROR(__xludf.DUMMYFUNCTION("""COMPUTED_VALUE"""),"Gallopolis Region, Common: Flython, Diethon, Bloodbonnet, Sail Serpent, Smogbonnet")</f>
        <v>Gallopolis Region, Common: Flython, Diethon, Bloodbonnet, Sail Serpent, Smogbonnet</v>
      </c>
    </row>
    <row r="111">
      <c r="A111" s="13" t="str">
        <f>IFERROR(__xludf.DUMMYFUNCTION("""COMPUTED_VALUE"""),"Grubby Bandage")</f>
        <v>Grubby Bandage</v>
      </c>
      <c r="B111" s="35"/>
      <c r="C111" s="30"/>
      <c r="D111" s="13" t="str">
        <f>IFERROR(__xludf.DUMMYFUNCTION("""COMPUTED_VALUE"""),"Cobblestone, Common: Shadow Minister, Corpse Corporal, Bad Hare")</f>
        <v>Cobblestone, Common: Shadow Minister, Corpse Corporal, Bad Hare</v>
      </c>
    </row>
    <row r="112">
      <c r="A112" s="9" t="str">
        <f>IFERROR(__xludf.DUMMYFUNCTION("""COMPUTED_VALUE"""),"Royal Soil")</f>
        <v>Royal Soil</v>
      </c>
      <c r="B112" s="31" t="str">
        <f>IFERROR(__xludf.DUMMYFUNCTION("""COMPUTED_VALUE"""),"Heliodor Region Camp")</f>
        <v>Heliodor Region Camp</v>
      </c>
      <c r="C112" s="31">
        <f>IFERROR(__xludf.DUMMYFUNCTION("""COMPUTED_VALUE"""),360.0)</f>
        <v>360</v>
      </c>
      <c r="D112" s="9" t="str">
        <f>IFERROR(__xludf.DUMMYFUNCTION("""COMPUTED_VALUE"""),"Heliodor Region, Manglegrove, Laguna di Gondolia, Zwaardsrust Region, Dundrasil Region")</f>
        <v>Heliodor Region, Manglegrove, Laguna di Gondolia, Zwaardsrust Region, Dundrasil Region</v>
      </c>
    </row>
    <row r="113">
      <c r="A113" s="13" t="str">
        <f>IFERROR(__xludf.DUMMYFUNCTION("""COMPUTED_VALUE"""),"Thunderball")</f>
        <v>Thunderball</v>
      </c>
      <c r="B113" s="35"/>
      <c r="C113" s="30"/>
      <c r="D113" s="13" t="str">
        <f>IFERROR(__xludf.DUMMYFUNCTION("""COMPUTED_VALUE"""),"Battleground B8, Common:Malicious Wight Prince")</f>
        <v>Battleground B8, Common:Malicious Wight Prince</v>
      </c>
    </row>
    <row r="114">
      <c r="A114" s="9" t="str">
        <f>IFERROR(__xludf.DUMMYFUNCTION("""COMPUTED_VALUE"""),"Saint's Ashes")</f>
        <v>Saint's Ashes</v>
      </c>
      <c r="B114" s="31" t="str">
        <f>IFERROR(__xludf.DUMMYFUNCTION("""COMPUTED_VALUE"""),"Mini Medal Exchange Shop")</f>
        <v>Mini Medal Exchange Shop</v>
      </c>
      <c r="C114" s="31" t="str">
        <f>IFERROR(__xludf.DUMMYFUNCTION("""COMPUTED_VALUE"""),"1 Medals")</f>
        <v>1 Medals</v>
      </c>
      <c r="D114" s="9" t="str">
        <f>IFERROR(__xludf.DUMMYFUNCTION("""COMPUTED_VALUE"""),"Common: Dark Gryphon, Wight King")</f>
        <v>Common: Dark Gryphon, Wight King</v>
      </c>
    </row>
    <row r="115">
      <c r="A115" s="13" t="str">
        <f>IFERROR(__xludf.DUMMYFUNCTION("""COMPUTED_VALUE"""),"Extra Mural")</f>
        <v>Extra Mural</v>
      </c>
      <c r="B115" s="30" t="str">
        <f>IFERROR(__xludf.DUMMYFUNCTION("""COMPUTED_VALUE"""),"Phnom Nonh")</f>
        <v>Phnom Nonh</v>
      </c>
      <c r="C115" s="32">
        <f>IFERROR(__xludf.DUMMYFUNCTION("""COMPUTED_VALUE"""),1000.0)</f>
        <v>1000</v>
      </c>
      <c r="D115" s="36" t="str">
        <f>IFERROR(__xludf.DUMMYFUNCTION("""COMPUTED_VALUE"""),"Common: Caped Caperer")</f>
        <v>Common: Caped Caperer</v>
      </c>
    </row>
    <row r="116">
      <c r="A116" s="9" t="str">
        <f>IFERROR(__xludf.DUMMYFUNCTION("""COMPUTED_VALUE"""),"Sainted Soma")</f>
        <v>Sainted Soma</v>
      </c>
      <c r="B116" s="31" t="str">
        <f>IFERROR(__xludf.DUMMYFUNCTION("""COMPUTED_VALUE"""),"Puerto Valor Casino")</f>
        <v>Puerto Valor Casino</v>
      </c>
      <c r="C116" s="31" t="str">
        <f>IFERROR(__xludf.DUMMYFUNCTION("""COMPUTED_VALUE"""),"30,000 Token")</f>
        <v>30,000 Token</v>
      </c>
      <c r="D116" s="9" t="str">
        <f>IFERROR(__xludf.DUMMYFUNCTION("""COMPUTED_VALUE"""),"Gallopolis - Whale Way, Common: Great Keeper at Dundrasil Region (Rain)")</f>
        <v>Gallopolis - Whale Way, Common: Great Keeper at Dundrasil Region (Rain)</v>
      </c>
    </row>
    <row r="117">
      <c r="A117" s="13" t="str">
        <f>IFERROR(__xludf.DUMMYFUNCTION("""COMPUTED_VALUE"""),"Serpent's Soul")</f>
        <v>Serpent's Soul</v>
      </c>
      <c r="B117" s="30" t="str">
        <f>IFERROR(__xludf.DUMMYFUNCTION("""COMPUTED_VALUE"""),"Mini Medal Exchange Shop")</f>
        <v>Mini Medal Exchange Shop</v>
      </c>
      <c r="C117" s="30" t="str">
        <f>IFERROR(__xludf.DUMMYFUNCTION("""COMPUTED_VALUE"""),"3 Medals")</f>
        <v>3 Medals</v>
      </c>
      <c r="D117" s="13" t="str">
        <f>IFERROR(__xludf.DUMMYFUNCTION("""COMPUTED_VALUE"""),"Common: Royal Reptile in Ruins of Dundrasil (Part 3)")</f>
        <v>Common: Royal Reptile in Ruins of Dundrasil (Part 3)</v>
      </c>
    </row>
  </sheetData>
  <mergeCells count="1">
    <mergeCell ref="A2:D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2.63"/>
    <col customWidth="1" min="3" max="6" width="5.13"/>
    <col customWidth="1" min="7" max="7" width="37.63"/>
    <col customWidth="1" min="8" max="8" width="46.38"/>
    <col customWidth="1" min="9" max="9" width="22.63"/>
  </cols>
  <sheetData>
    <row r="1">
      <c r="A1" s="1" t="str">
        <f>IFERROR(__xludf.DUMMYFUNCTION("IMPORTRANGE(""1pGQGO9M_OLNstXbY45t1_zMDCLpiw8pwB7y8fM3IKkA"",""Weapons!A1:I267"")"),"Name")</f>
        <v>Name</v>
      </c>
      <c r="B1" s="28" t="str">
        <f>IFERROR(__xludf.DUMMYFUNCTION("""COMPUTED_VALUE"""),"Stat")</f>
        <v>Stat</v>
      </c>
      <c r="C1" s="28" t="str">
        <f>IFERROR(__xludf.DUMMYFUNCTION("""COMPUTED_VALUE"""),"Base")</f>
        <v>Base</v>
      </c>
      <c r="D1" s="39" t="str">
        <f>IFERROR(__xludf.DUMMYFUNCTION("""COMPUTED_VALUE"""),"+1")</f>
        <v>+1</v>
      </c>
      <c r="E1" s="39" t="str">
        <f>IFERROR(__xludf.DUMMYFUNCTION("""COMPUTED_VALUE"""),"+2")</f>
        <v>+2</v>
      </c>
      <c r="F1" s="39" t="str">
        <f>IFERROR(__xludf.DUMMYFUNCTION("""COMPUTED_VALUE"""),"+3")</f>
        <v>+3</v>
      </c>
      <c r="G1" s="28" t="str">
        <f>IFERROR(__xludf.DUMMYFUNCTION("""COMPUTED_VALUE"""),"Special")</f>
        <v>Special</v>
      </c>
      <c r="H1" s="28" t="str">
        <f>IFERROR(__xludf.DUMMYFUNCTION("""COMPUTED_VALUE"""),"Location (Vicious/Malicious will also drop)")</f>
        <v>Location (Vicious/Malicious will also drop)</v>
      </c>
      <c r="I1" s="28" t="str">
        <f>IFERROR(__xludf.DUMMYFUNCTION("""COMPUTED_VALUE"""),"Forge")</f>
        <v>Forge</v>
      </c>
    </row>
    <row r="2">
      <c r="A2" s="40" t="str">
        <f>IFERROR(__xludf.DUMMYFUNCTION("""COMPUTED_VALUE"""),"Sword")</f>
        <v>Sword</v>
      </c>
      <c r="B2" s="7"/>
      <c r="C2" s="7"/>
      <c r="D2" s="7"/>
      <c r="E2" s="7"/>
      <c r="F2" s="7"/>
      <c r="G2" s="7"/>
      <c r="H2" s="7"/>
      <c r="I2" s="8"/>
    </row>
    <row r="3">
      <c r="A3" s="41" t="str">
        <f>IFERROR(__xludf.DUMMYFUNCTION("""COMPUTED_VALUE"""),"Cypress Stick")</f>
        <v>Cypress Stick</v>
      </c>
      <c r="B3" s="31" t="str">
        <f>IFERROR(__xludf.DUMMYFUNCTION("""COMPUTED_VALUE"""),"Attack")</f>
        <v>Attack</v>
      </c>
      <c r="C3" s="31">
        <f>IFERROR(__xludf.DUMMYFUNCTION("""COMPUTED_VALUE"""),7.0)</f>
        <v>7</v>
      </c>
      <c r="D3" s="31">
        <f>IFERROR(__xludf.DUMMYFUNCTION("""COMPUTED_VALUE"""),9.0)</f>
        <v>9</v>
      </c>
      <c r="E3" s="31">
        <f>IFERROR(__xludf.DUMMYFUNCTION("""COMPUTED_VALUE"""),11.0)</f>
        <v>11</v>
      </c>
      <c r="F3" s="31">
        <f>IFERROR(__xludf.DUMMYFUNCTION("""COMPUTED_VALUE"""),16.0)</f>
        <v>16</v>
      </c>
      <c r="G3" s="31" t="str">
        <f>IFERROR(__xludf.DUMMYFUNCTION("""COMPUTED_VALUE"""),"--")</f>
        <v>--</v>
      </c>
      <c r="H3" s="41" t="str">
        <f>IFERROR(__xludf.DUMMYFUNCTION("""COMPUTED_VALUE"""),"Heliodor Region: 10
Rare: Cruelcumber")</f>
        <v>Heliodor Region: 10
Rare: Cruelcumber</v>
      </c>
      <c r="I3" s="31"/>
    </row>
    <row r="4">
      <c r="A4" s="42" t="str">
        <f>IFERROR(__xludf.DUMMYFUNCTION("""COMPUTED_VALUE"""),"Cobblestone Sword")</f>
        <v>Cobblestone Sword</v>
      </c>
      <c r="B4" s="30" t="str">
        <f>IFERROR(__xludf.DUMMYFUNCTION("""COMPUTED_VALUE"""),"Attack")</f>
        <v>Attack</v>
      </c>
      <c r="C4" s="30">
        <f>IFERROR(__xludf.DUMMYFUNCTION("""COMPUTED_VALUE"""),8.0)</f>
        <v>8</v>
      </c>
      <c r="D4" s="30">
        <f>IFERROR(__xludf.DUMMYFUNCTION("""COMPUTED_VALUE"""),10.0)</f>
        <v>10</v>
      </c>
      <c r="E4" s="30">
        <f>IFERROR(__xludf.DUMMYFUNCTION("""COMPUTED_VALUE"""),14.0)</f>
        <v>14</v>
      </c>
      <c r="F4" s="30">
        <f>IFERROR(__xludf.DUMMYFUNCTION("""COMPUTED_VALUE"""),21.0)</f>
        <v>21</v>
      </c>
      <c r="G4" s="30" t="str">
        <f>IFERROR(__xludf.DUMMYFUNCTION("""COMPUTED_VALUE"""),"--")</f>
        <v>--</v>
      </c>
      <c r="H4" s="42" t="str">
        <f>IFERROR(__xludf.DUMMYFUNCTION("""COMPUTED_VALUE"""),"Story")</f>
        <v>Story</v>
      </c>
      <c r="I4" s="30"/>
    </row>
    <row r="5">
      <c r="A5" s="41" t="str">
        <f>IFERROR(__xludf.DUMMYFUNCTION("""COMPUTED_VALUE"""),"Soldier's Sword")</f>
        <v>Soldier's Sword</v>
      </c>
      <c r="B5" s="31" t="str">
        <f>IFERROR(__xludf.DUMMYFUNCTION("""COMPUTED_VALUE"""),"Attack")</f>
        <v>Attack</v>
      </c>
      <c r="C5" s="31">
        <f>IFERROR(__xludf.DUMMYFUNCTION("""COMPUTED_VALUE"""),10.0)</f>
        <v>10</v>
      </c>
      <c r="D5" s="31">
        <f>IFERROR(__xludf.DUMMYFUNCTION("""COMPUTED_VALUE"""),13.0)</f>
        <v>13</v>
      </c>
      <c r="E5" s="31">
        <f>IFERROR(__xludf.DUMMYFUNCTION("""COMPUTED_VALUE"""),16.0)</f>
        <v>16</v>
      </c>
      <c r="F5" s="31">
        <f>IFERROR(__xludf.DUMMYFUNCTION("""COMPUTED_VALUE"""),22.0)</f>
        <v>22</v>
      </c>
      <c r="G5" s="31" t="str">
        <f>IFERROR(__xludf.DUMMYFUNCTION("""COMPUTED_VALUE"""),"--")</f>
        <v>--</v>
      </c>
      <c r="H5" s="41" t="str">
        <f>IFERROR(__xludf.DUMMYFUNCTION("""COMPUTED_VALUE"""),"Rare: Skullrider")</f>
        <v>Rare: Skullrider</v>
      </c>
      <c r="I5" s="31"/>
    </row>
    <row r="6">
      <c r="A6" s="42" t="str">
        <f>IFERROR(__xludf.DUMMYFUNCTION("""COMPUTED_VALUE"""),"Copper Sword")</f>
        <v>Copper Sword</v>
      </c>
      <c r="B6" s="30" t="str">
        <f>IFERROR(__xludf.DUMMYFUNCTION("""COMPUTED_VALUE"""),"Attack")</f>
        <v>Attack</v>
      </c>
      <c r="C6" s="30">
        <f>IFERROR(__xludf.DUMMYFUNCTION("""COMPUTED_VALUE"""),13.0)</f>
        <v>13</v>
      </c>
      <c r="D6" s="30">
        <f>IFERROR(__xludf.DUMMYFUNCTION("""COMPUTED_VALUE"""),15.0)</f>
        <v>15</v>
      </c>
      <c r="E6" s="30">
        <f>IFERROR(__xludf.DUMMYFUNCTION("""COMPUTED_VALUE"""),17.0)</f>
        <v>17</v>
      </c>
      <c r="F6" s="30">
        <f>IFERROR(__xludf.DUMMYFUNCTION("""COMPUTED_VALUE"""),20.0)</f>
        <v>20</v>
      </c>
      <c r="G6" s="30" t="str">
        <f>IFERROR(__xludf.DUMMYFUNCTION("""COMPUTED_VALUE"""),"--")</f>
        <v>--</v>
      </c>
      <c r="H6" s="42" t="str">
        <f>IFERROR(__xludf.DUMMYFUNCTION("""COMPUTED_VALUE"""),"Heliodor, Downtown, Manglegrove: 270
Common: Gloomy Grublin")</f>
        <v>Heliodor, Downtown, Manglegrove: 270
Common: Gloomy Grublin</v>
      </c>
      <c r="I6" s="30"/>
    </row>
    <row r="7">
      <c r="A7" s="41" t="str">
        <f>IFERROR(__xludf.DUMMYFUNCTION("""COMPUTED_VALUE"""),"Bronze Sword")</f>
        <v>Bronze Sword</v>
      </c>
      <c r="B7" s="31" t="str">
        <f>IFERROR(__xludf.DUMMYFUNCTION("""COMPUTED_VALUE"""),"Attack")</f>
        <v>Attack</v>
      </c>
      <c r="C7" s="31">
        <f>IFERROR(__xludf.DUMMYFUNCTION("""COMPUTED_VALUE"""),16.0)</f>
        <v>16</v>
      </c>
      <c r="D7" s="31">
        <f>IFERROR(__xludf.DUMMYFUNCTION("""COMPUTED_VALUE"""),18.0)</f>
        <v>18</v>
      </c>
      <c r="E7" s="31">
        <f>IFERROR(__xludf.DUMMYFUNCTION("""COMPUTED_VALUE"""),20.0)</f>
        <v>20</v>
      </c>
      <c r="F7" s="31">
        <f>IFERROR(__xludf.DUMMYFUNCTION("""COMPUTED_VALUE"""),22.0)</f>
        <v>22</v>
      </c>
      <c r="G7" s="31" t="str">
        <f>IFERROR(__xludf.DUMMYFUNCTION("""COMPUTED_VALUE"""),"--")</f>
        <v>--</v>
      </c>
      <c r="H7" s="41" t="str">
        <f>IFERROR(__xludf.DUMMYFUNCTION("""COMPUTED_VALUE"""),"Recipe: First Forays Into Forging")</f>
        <v>Recipe: First Forays Into Forging</v>
      </c>
      <c r="I7" s="41" t="str">
        <f>IFERROR(__xludf.DUMMYFUNCTION("""COMPUTED_VALUE"""),"Copper Ore: 2
Flintstone: 1")</f>
        <v>Copper Ore: 2
Flintstone: 1</v>
      </c>
    </row>
    <row r="8">
      <c r="A8" s="42" t="str">
        <f>IFERROR(__xludf.DUMMYFUNCTION("""COMPUTED_VALUE"""),"Syvlando's Sword")</f>
        <v>Syvlando's Sword</v>
      </c>
      <c r="B8" s="30" t="str">
        <f>IFERROR(__xludf.DUMMYFUNCTION("""COMPUTED_VALUE"""),"Attack
Charm")</f>
        <v>Attack
Charm</v>
      </c>
      <c r="C8" s="30" t="str">
        <f>IFERROR(__xludf.DUMMYFUNCTION("""COMPUTED_VALUE"""),"18
10")</f>
        <v>18
10</v>
      </c>
      <c r="D8" s="30" t="str">
        <f>IFERROR(__xludf.DUMMYFUNCTION("""COMPUTED_VALUE"""),"22
11")</f>
        <v>22
11</v>
      </c>
      <c r="E8" s="30" t="str">
        <f>IFERROR(__xludf.DUMMYFUNCTION("""COMPUTED_VALUE"""),"26
13")</f>
        <v>26
13</v>
      </c>
      <c r="F8" s="30" t="str">
        <f>IFERROR(__xludf.DUMMYFUNCTION("""COMPUTED_VALUE"""),"30
15")</f>
        <v>30
15</v>
      </c>
      <c r="G8" s="30" t="str">
        <f>IFERROR(__xludf.DUMMYFUNCTION("""COMPUTED_VALUE"""),"--")</f>
        <v>--</v>
      </c>
      <c r="H8" s="42" t="str">
        <f>IFERROR(__xludf.DUMMYFUNCTION("""COMPUTED_VALUE"""),"Story")</f>
        <v>Story</v>
      </c>
      <c r="I8" s="30"/>
    </row>
    <row r="9">
      <c r="A9" s="41" t="str">
        <f>IFERROR(__xludf.DUMMYFUNCTION("""COMPUTED_VALUE"""),"Iron Broadsword")</f>
        <v>Iron Broadsword</v>
      </c>
      <c r="B9" s="31" t="str">
        <f>IFERROR(__xludf.DUMMYFUNCTION("""COMPUTED_VALUE"""),"Attack")</f>
        <v>Attack</v>
      </c>
      <c r="C9" s="31">
        <f>IFERROR(__xludf.DUMMYFUNCTION("""COMPUTED_VALUE"""),20.0)</f>
        <v>20</v>
      </c>
      <c r="D9" s="31">
        <f>IFERROR(__xludf.DUMMYFUNCTION("""COMPUTED_VALUE"""),22.0)</f>
        <v>22</v>
      </c>
      <c r="E9" s="31">
        <f>IFERROR(__xludf.DUMMYFUNCTION("""COMPUTED_VALUE"""),24.0)</f>
        <v>24</v>
      </c>
      <c r="F9" s="31">
        <f>IFERROR(__xludf.DUMMYFUNCTION("""COMPUTED_VALUE"""),26.0)</f>
        <v>26</v>
      </c>
      <c r="G9" s="31" t="str">
        <f>IFERROR(__xludf.DUMMYFUNCTION("""COMPUTED_VALUE"""),"--")</f>
        <v>--</v>
      </c>
      <c r="H9" s="41" t="str">
        <f>IFERROR(__xludf.DUMMYFUNCTION("""COMPUTED_VALUE"""),"Hotto: 500
Recipe: I &lt;3 Iron Arms
Common: Restless Armour, Rare: Slime Knight")</f>
        <v>Hotto: 500
Recipe: I &lt;3 Iron Arms
Common: Restless Armour, Rare: Slime Knight</v>
      </c>
      <c r="I9" s="41" t="str">
        <f>IFERROR(__xludf.DUMMYFUNCTION("""COMPUTED_VALUE"""),"Iron Ore: 2
Copper Ore: 1")</f>
        <v>Iron Ore: 2
Copper Ore: 1</v>
      </c>
    </row>
    <row r="10">
      <c r="A10" s="42" t="str">
        <f>IFERROR(__xludf.DUMMYFUNCTION("""COMPUTED_VALUE"""),"Rapier")</f>
        <v>Rapier</v>
      </c>
      <c r="B10" s="30" t="str">
        <f>IFERROR(__xludf.DUMMYFUNCTION("""COMPUTED_VALUE"""),"Attack
Charm")</f>
        <v>Attack
Charm</v>
      </c>
      <c r="C10" s="30" t="str">
        <f>IFERROR(__xludf.DUMMYFUNCTION("""COMPUTED_VALUE"""),"24
5")</f>
        <v>24
5</v>
      </c>
      <c r="D10" s="30" t="str">
        <f>IFERROR(__xludf.DUMMYFUNCTION("""COMPUTED_VALUE"""),"26
6")</f>
        <v>26
6</v>
      </c>
      <c r="E10" s="30" t="str">
        <f>IFERROR(__xludf.DUMMYFUNCTION("""COMPUTED_VALUE"""),"28
7")</f>
        <v>28
7</v>
      </c>
      <c r="F10" s="30" t="str">
        <f>IFERROR(__xludf.DUMMYFUNCTION("""COMPUTED_VALUE"""),"30
8")</f>
        <v>30
8</v>
      </c>
      <c r="G10" s="30" t="str">
        <f>IFERROR(__xludf.DUMMYFUNCTION("""COMPUTED_VALUE"""),"--")</f>
        <v>--</v>
      </c>
      <c r="H10" s="42" t="str">
        <f>IFERROR(__xludf.DUMMYFUNCTION("""COMPUTED_VALUE"""),"Gallopolis, Gondolia: 750")</f>
        <v>Gallopolis, Gondolia: 750</v>
      </c>
      <c r="I10" s="30"/>
    </row>
    <row r="11">
      <c r="A11" s="41" t="str">
        <f>IFERROR(__xludf.DUMMYFUNCTION("""COMPUTED_VALUE"""),"Bandit Blade")</f>
        <v>Bandit Blade</v>
      </c>
      <c r="B11" s="31" t="str">
        <f>IFERROR(__xludf.DUMMYFUNCTION("""COMPUTED_VALUE"""),"Attack")</f>
        <v>Attack</v>
      </c>
      <c r="C11" s="31">
        <f>IFERROR(__xludf.DUMMYFUNCTION("""COMPUTED_VALUE"""),30.0)</f>
        <v>30</v>
      </c>
      <c r="D11" s="31">
        <f>IFERROR(__xludf.DUMMYFUNCTION("""COMPUTED_VALUE"""),35.0)</f>
        <v>35</v>
      </c>
      <c r="E11" s="31">
        <f>IFERROR(__xludf.DUMMYFUNCTION("""COMPUTED_VALUE"""),41.0)</f>
        <v>41</v>
      </c>
      <c r="F11" s="31">
        <f>IFERROR(__xludf.DUMMYFUNCTION("""COMPUTED_VALUE"""),47.0)</f>
        <v>47</v>
      </c>
      <c r="G11" s="31" t="str">
        <f>IFERROR(__xludf.DUMMYFUNCTION("""COMPUTED_VALUE"""),"--")</f>
        <v>--</v>
      </c>
      <c r="H11" s="41" t="str">
        <f>IFERROR(__xludf.DUMMYFUNCTION("""COMPUTED_VALUE"""),"Common: Grublin")</f>
        <v>Common: Grublin</v>
      </c>
      <c r="I11" s="31"/>
    </row>
    <row r="12">
      <c r="A12" s="42" t="str">
        <f>IFERROR(__xludf.DUMMYFUNCTION("""COMPUTED_VALUE"""),"Silver Rapier")</f>
        <v>Silver Rapier</v>
      </c>
      <c r="B12" s="30" t="str">
        <f>IFERROR(__xludf.DUMMYFUNCTION("""COMPUTED_VALUE"""),"Attack
Charm")</f>
        <v>Attack
Charm</v>
      </c>
      <c r="C12" s="30" t="str">
        <f>IFERROR(__xludf.DUMMYFUNCTION("""COMPUTED_VALUE"""),"32
7")</f>
        <v>32
7</v>
      </c>
      <c r="D12" s="30" t="str">
        <f>IFERROR(__xludf.DUMMYFUNCTION("""COMPUTED_VALUE"""),"34
8")</f>
        <v>34
8</v>
      </c>
      <c r="E12" s="30" t="str">
        <f>IFERROR(__xludf.DUMMYFUNCTION("""COMPUTED_VALUE"""),"36
9")</f>
        <v>36
9</v>
      </c>
      <c r="F12" s="30" t="str">
        <f>IFERROR(__xludf.DUMMYFUNCTION("""COMPUTED_VALUE"""),"38
10")</f>
        <v>38
10</v>
      </c>
      <c r="G12" s="30" t="str">
        <f>IFERROR(__xludf.DUMMYFUNCTION("""COMPUTED_VALUE"""),"--")</f>
        <v>--</v>
      </c>
      <c r="H12" s="42" t="str">
        <f>IFERROR(__xludf.DUMMYFUNCTION("""COMPUTED_VALUE"""),"Recipe: A Slender Sword of Solid Silver")</f>
        <v>Recipe: A Slender Sword of Solid Silver</v>
      </c>
      <c r="I12" s="42" t="str">
        <f>IFERROR(__xludf.DUMMYFUNCTION("""COMPUTED_VALUE"""),"Silver Ore: 2
Beast Bone: 1
Glass Frit: 1")</f>
        <v>Silver Ore: 2
Beast Bone: 1
Glass Frit: 1</v>
      </c>
    </row>
    <row r="13">
      <c r="A13" s="41" t="str">
        <f>IFERROR(__xludf.DUMMYFUNCTION("""COMPUTED_VALUE"""),"Steel Broadsword")</f>
        <v>Steel Broadsword</v>
      </c>
      <c r="B13" s="31" t="str">
        <f>IFERROR(__xludf.DUMMYFUNCTION("""COMPUTED_VALUE"""),"Attack")</f>
        <v>Attack</v>
      </c>
      <c r="C13" s="31">
        <f>IFERROR(__xludf.DUMMYFUNCTION("""COMPUTED_VALUE"""),35.0)</f>
        <v>35</v>
      </c>
      <c r="D13" s="31">
        <f>IFERROR(__xludf.DUMMYFUNCTION("""COMPUTED_VALUE"""),37.0)</f>
        <v>37</v>
      </c>
      <c r="E13" s="31">
        <f>IFERROR(__xludf.DUMMYFUNCTION("""COMPUTED_VALUE"""),40.0)</f>
        <v>40</v>
      </c>
      <c r="F13" s="31">
        <f>IFERROR(__xludf.DUMMYFUNCTION("""COMPUTED_VALUE"""),43.0)</f>
        <v>43</v>
      </c>
      <c r="G13" s="31" t="str">
        <f>IFERROR(__xludf.DUMMYFUNCTION("""COMPUTED_VALUE"""),"--")</f>
        <v>--</v>
      </c>
      <c r="H13" s="41" t="str">
        <f>IFERROR(__xludf.DUMMYFUNCTION("""COMPUTED_VALUE"""),"Octagonia, Puerto Valor: 2000
Recipe: Smithing With Steel")</f>
        <v>Octagonia, Puerto Valor: 2000
Recipe: Smithing With Steel</v>
      </c>
      <c r="I13" s="41" t="str">
        <f>IFERROR(__xludf.DUMMYFUNCTION("""COMPUTED_VALUE"""),"Silver Ore: 2
Iron Ore: 1
Blue Eye- 1")</f>
        <v>Silver Ore: 2
Iron Ore: 1
Blue Eye- 1</v>
      </c>
    </row>
    <row r="14">
      <c r="A14" s="42" t="str">
        <f>IFERROR(__xludf.DUMMYFUNCTION("""COMPUTED_VALUE"""),"Cautery Sword")</f>
        <v>Cautery Sword</v>
      </c>
      <c r="B14" s="30" t="str">
        <f>IFERROR(__xludf.DUMMYFUNCTION("""COMPUTED_VALUE"""),"Attack")</f>
        <v>Attack</v>
      </c>
      <c r="C14" s="30">
        <f>IFERROR(__xludf.DUMMYFUNCTION("""COMPUTED_VALUE"""),42.0)</f>
        <v>42</v>
      </c>
      <c r="D14" s="30">
        <f>IFERROR(__xludf.DUMMYFUNCTION("""COMPUTED_VALUE"""),44.0)</f>
        <v>44</v>
      </c>
      <c r="E14" s="30">
        <f>IFERROR(__xludf.DUMMYFUNCTION("""COMPUTED_VALUE"""),47.0)</f>
        <v>47</v>
      </c>
      <c r="F14" s="30">
        <f>IFERROR(__xludf.DUMMYFUNCTION("""COMPUTED_VALUE"""),50.0)</f>
        <v>50</v>
      </c>
      <c r="G14" s="30" t="str">
        <f>IFERROR(__xludf.DUMMYFUNCTION("""COMPUTED_VALUE"""),"Fire damage to group when used as item")</f>
        <v>Fire damage to group when used as item</v>
      </c>
      <c r="H14" s="42" t="str">
        <f>IFERROR(__xludf.DUMMYFUNCTION("""COMPUTED_VALUE"""),"Emerald Coast, Lonalulu, Phnom Nonh: 4400
Recipe: Building a Blade of Blistering Brutality
Common: Infernal Armour")</f>
        <v>Emerald Coast, Lonalulu, Phnom Nonh: 4400
Recipe: Building a Blade of Blistering Brutality
Common: Infernal Armour</v>
      </c>
      <c r="I14" s="42" t="str">
        <f>IFERROR(__xludf.DUMMYFUNCTION("""COMPUTED_VALUE"""),"Silver Ore: 2
Lava Lump: 1
Red Eye: 1")</f>
        <v>Silver Ore: 2
Lava Lump: 1
Red Eye: 1</v>
      </c>
    </row>
    <row r="15">
      <c r="A15" s="41" t="str">
        <f>IFERROR(__xludf.DUMMYFUNCTION("""COMPUTED_VALUE"""),"Falcon Blade")</f>
        <v>Falcon Blade</v>
      </c>
      <c r="B15" s="31" t="str">
        <f>IFERROR(__xludf.DUMMYFUNCTION("""COMPUTED_VALUE"""),"Attack")</f>
        <v>Attack</v>
      </c>
      <c r="C15" s="31">
        <f>IFERROR(__xludf.DUMMYFUNCTION("""COMPUTED_VALUE"""),45.0)</f>
        <v>45</v>
      </c>
      <c r="D15" s="31">
        <f>IFERROR(__xludf.DUMMYFUNCTION("""COMPUTED_VALUE"""),50.0)</f>
        <v>50</v>
      </c>
      <c r="E15" s="31">
        <f>IFERROR(__xludf.DUMMYFUNCTION("""COMPUTED_VALUE"""),55.0)</f>
        <v>55</v>
      </c>
      <c r="F15" s="31">
        <f>IFERROR(__xludf.DUMMYFUNCTION("""COMPUTED_VALUE"""),60.0)</f>
        <v>60</v>
      </c>
      <c r="G15" s="31" t="str">
        <f>IFERROR(__xludf.DUMMYFUNCTION("""COMPUTED_VALUE"""),"Attacks twice")</f>
        <v>Attacks twice</v>
      </c>
      <c r="H15" s="41" t="str">
        <f>IFERROR(__xludf.DUMMYFUNCTION("""COMPUTED_VALUE"""),"Mini Medal Stamp: 35
Magic Key: Insula Occidentalis
Rare: Overkilling Machine")</f>
        <v>Mini Medal Stamp: 35
Magic Key: Insula Occidentalis
Rare: Overkilling Machine</v>
      </c>
      <c r="I15" s="31"/>
    </row>
    <row r="16">
      <c r="A16" s="42" t="str">
        <f>IFERROR(__xludf.DUMMYFUNCTION("""COMPUTED_VALUE"""),"Zombiesbane")</f>
        <v>Zombiesbane</v>
      </c>
      <c r="B16" s="30" t="str">
        <f>IFERROR(__xludf.DUMMYFUNCTION("""COMPUTED_VALUE"""),"Attack")</f>
        <v>Attack</v>
      </c>
      <c r="C16" s="30">
        <f>IFERROR(__xludf.DUMMYFUNCTION("""COMPUTED_VALUE"""),54.0)</f>
        <v>54</v>
      </c>
      <c r="D16" s="30">
        <f>IFERROR(__xludf.DUMMYFUNCTION("""COMPUTED_VALUE"""),58.0)</f>
        <v>58</v>
      </c>
      <c r="E16" s="30">
        <f>IFERROR(__xludf.DUMMYFUNCTION("""COMPUTED_VALUE"""),62.0)</f>
        <v>62</v>
      </c>
      <c r="F16" s="30">
        <f>IFERROR(__xludf.DUMMYFUNCTION("""COMPUTED_VALUE"""),66.0)</f>
        <v>66</v>
      </c>
      <c r="G16" s="30" t="str">
        <f>IFERROR(__xludf.DUMMYFUNCTION("""COMPUTED_VALUE"""),"Bonus damage to Undead (20%)")</f>
        <v>Bonus damage to Undead (20%)</v>
      </c>
      <c r="H16" s="42" t="str">
        <f>IFERROR(__xludf.DUMMYFUNCTION("""COMPUTED_VALUE"""),"Heliodor Region, Emerald Coast, Sniflheim: 6300")</f>
        <v>Heliodor Region, Emerald Coast, Sniflheim: 6300</v>
      </c>
      <c r="I16" s="30"/>
    </row>
    <row r="17">
      <c r="A17" s="41" t="str">
        <f>IFERROR(__xludf.DUMMYFUNCTION("""COMPUTED_VALUE"""),"Platinum Sword")</f>
        <v>Platinum Sword</v>
      </c>
      <c r="B17" s="31" t="str">
        <f>IFERROR(__xludf.DUMMYFUNCTION("""COMPUTED_VALUE"""),"Attack
Charm")</f>
        <v>Attack
Charm</v>
      </c>
      <c r="C17" s="31" t="str">
        <f>IFERROR(__xludf.DUMMYFUNCTION("""COMPUTED_VALUE"""),"60
12")</f>
        <v>60
12</v>
      </c>
      <c r="D17" s="31" t="str">
        <f>IFERROR(__xludf.DUMMYFUNCTION("""COMPUTED_VALUE"""),"63
13")</f>
        <v>63
13</v>
      </c>
      <c r="E17" s="31" t="str">
        <f>IFERROR(__xludf.DUMMYFUNCTION("""COMPUTED_VALUE"""),"67
14")</f>
        <v>67
14</v>
      </c>
      <c r="F17" s="31" t="str">
        <f>IFERROR(__xludf.DUMMYFUNCTION("""COMPUTED_VALUE"""),"71
15")</f>
        <v>71
15</v>
      </c>
      <c r="G17" s="31" t="str">
        <f>IFERROR(__xludf.DUMMYFUNCTION("""COMPUTED_VALUE"""),"--")</f>
        <v>--</v>
      </c>
      <c r="H17" s="41" t="str">
        <f>IFERROR(__xludf.DUMMYFUNCTION("""COMPUTED_VALUE"""),"Puerto Valor Casino: 50000
Recipe: Platinum Power
Common: Lethal Armour")</f>
        <v>Puerto Valor Casino: 50000
Recipe: Platinum Power
Common: Lethal Armour</v>
      </c>
      <c r="I17" s="41" t="str">
        <f>IFERROR(__xludf.DUMMYFUNCTION("""COMPUTED_VALUE"""),"Platinum Ore: 2
Magic Beast Horn: 2
Buzzberries: 2")</f>
        <v>Platinum Ore: 2
Magic Beast Horn: 2
Buzzberries: 2</v>
      </c>
    </row>
    <row r="18">
      <c r="A18" s="42" t="str">
        <f>IFERROR(__xludf.DUMMYFUNCTION("""COMPUTED_VALUE"""),"Bastard Sword")</f>
        <v>Bastard Sword</v>
      </c>
      <c r="B18" s="30" t="str">
        <f>IFERROR(__xludf.DUMMYFUNCTION("""COMPUTED_VALUE"""),"Attack")</f>
        <v>Attack</v>
      </c>
      <c r="C18" s="30">
        <f>IFERROR(__xludf.DUMMYFUNCTION("""COMPUTED_VALUE"""),61.0)</f>
        <v>61</v>
      </c>
      <c r="D18" s="30">
        <f>IFERROR(__xludf.DUMMYFUNCTION("""COMPUTED_VALUE"""),65.0)</f>
        <v>65</v>
      </c>
      <c r="E18" s="30">
        <f>IFERROR(__xludf.DUMMYFUNCTION("""COMPUTED_VALUE"""),69.0)</f>
        <v>69</v>
      </c>
      <c r="F18" s="30">
        <f>IFERROR(__xludf.DUMMYFUNCTION("""COMPUTED_VALUE"""),73.0)</f>
        <v>73</v>
      </c>
      <c r="G18" s="30" t="str">
        <f>IFERROR(__xludf.DUMMYFUNCTION("""COMPUTED_VALUE"""),"--")</f>
        <v>--</v>
      </c>
      <c r="H18" s="42" t="str">
        <f>IFERROR(__xludf.DUMMYFUNCTION("""COMPUTED_VALUE"""),"Heliodor Region, Costa Valor, Angri-La: 8800
Common: Gleeful Grublin")</f>
        <v>Heliodor Region, Costa Valor, Angri-La: 8800
Common: Gleeful Grublin</v>
      </c>
      <c r="I18" s="30"/>
    </row>
    <row r="19">
      <c r="A19" s="41" t="str">
        <f>IFERROR(__xludf.DUMMYFUNCTION("""COMPUTED_VALUE"""),"Heliodorian Sword")</f>
        <v>Heliodorian Sword</v>
      </c>
      <c r="B19" s="31" t="str">
        <f>IFERROR(__xludf.DUMMYFUNCTION("""COMPUTED_VALUE"""),"Attack")</f>
        <v>Attack</v>
      </c>
      <c r="C19" s="31">
        <f>IFERROR(__xludf.DUMMYFUNCTION("""COMPUTED_VALUE"""),61.0)</f>
        <v>61</v>
      </c>
      <c r="D19" s="31">
        <f>IFERROR(__xludf.DUMMYFUNCTION("""COMPUTED_VALUE"""),66.0)</f>
        <v>66</v>
      </c>
      <c r="E19" s="31">
        <f>IFERROR(__xludf.DUMMYFUNCTION("""COMPUTED_VALUE"""),71.0)</f>
        <v>71</v>
      </c>
      <c r="F19" s="31">
        <f>IFERROR(__xludf.DUMMYFUNCTION("""COMPUTED_VALUE"""),78.0)</f>
        <v>78</v>
      </c>
      <c r="G19" s="31" t="str">
        <f>IFERROR(__xludf.DUMMYFUNCTION("""COMPUTED_VALUE"""),"--")</f>
        <v>--</v>
      </c>
      <c r="H19" s="41" t="str">
        <f>IFERROR(__xludf.DUMMYFUNCTION("""COMPUTED_VALUE"""),"Story")</f>
        <v>Story</v>
      </c>
      <c r="I19" s="31"/>
    </row>
    <row r="20">
      <c r="A20" s="42" t="str">
        <f>IFERROR(__xludf.DUMMYFUNCTION("""COMPUTED_VALUE"""),"Zombie Slayer")</f>
        <v>Zombie Slayer</v>
      </c>
      <c r="B20" s="30" t="str">
        <f>IFERROR(__xludf.DUMMYFUNCTION("""COMPUTED_VALUE"""),"Attack")</f>
        <v>Attack</v>
      </c>
      <c r="C20" s="30">
        <f>IFERROR(__xludf.DUMMYFUNCTION("""COMPUTED_VALUE"""),65.0)</f>
        <v>65</v>
      </c>
      <c r="D20" s="30">
        <f>IFERROR(__xludf.DUMMYFUNCTION("""COMPUTED_VALUE"""),69.0)</f>
        <v>69</v>
      </c>
      <c r="E20" s="30">
        <f>IFERROR(__xludf.DUMMYFUNCTION("""COMPUTED_VALUE"""),73.0)</f>
        <v>73</v>
      </c>
      <c r="F20" s="30">
        <f>IFERROR(__xludf.DUMMYFUNCTION("""COMPUTED_VALUE"""),77.0)</f>
        <v>77</v>
      </c>
      <c r="G20" s="30" t="str">
        <f>IFERROR(__xludf.DUMMYFUNCTION("""COMPUTED_VALUE"""),"Bonus damage to Undead (30%)")</f>
        <v>Bonus damage to Undead (30%)</v>
      </c>
      <c r="H20" s="42" t="str">
        <f>IFERROR(__xludf.DUMMYFUNCTION("""COMPUTED_VALUE"""),"Recipe: How to Outdo the Undead")</f>
        <v>Recipe: How to Outdo the Undead</v>
      </c>
      <c r="I20" s="42" t="str">
        <f>IFERROR(__xludf.DUMMYFUNCTION("""COMPUTED_VALUE"""),"Platinum Ore: 2
Saint's Ashes: 1
Extra Mural: 1")</f>
        <v>Platinum Ore: 2
Saint's Ashes: 1
Extra Mural: 1</v>
      </c>
    </row>
    <row r="21">
      <c r="A21" s="41" t="str">
        <f>IFERROR(__xludf.DUMMYFUNCTION("""COMPUTED_VALUE"""),"Aurora Blade")</f>
        <v>Aurora Blade</v>
      </c>
      <c r="B21" s="31" t="str">
        <f>IFERROR(__xludf.DUMMYFUNCTION("""COMPUTED_VALUE"""),"Attack
Charm")</f>
        <v>Attack
Charm</v>
      </c>
      <c r="C21" s="31" t="str">
        <f>IFERROR(__xludf.DUMMYFUNCTION("""COMPUTED_VALUE"""),"70
18")</f>
        <v>70
18</v>
      </c>
      <c r="D21" s="31" t="str">
        <f>IFERROR(__xludf.DUMMYFUNCTION("""COMPUTED_VALUE"""),"73
19")</f>
        <v>73
19</v>
      </c>
      <c r="E21" s="31" t="str">
        <f>IFERROR(__xludf.DUMMYFUNCTION("""COMPUTED_VALUE"""),"76
20")</f>
        <v>76
20</v>
      </c>
      <c r="F21" s="31" t="str">
        <f>IFERROR(__xludf.DUMMYFUNCTION("""COMPUTED_VALUE"""),"80
22")</f>
        <v>80
22</v>
      </c>
      <c r="G21" s="31" t="str">
        <f>IFERROR(__xludf.DUMMYFUNCTION("""COMPUTED_VALUE"""),"Fire damage to group when used as item")</f>
        <v>Fire damage to group when used as item</v>
      </c>
      <c r="H21" s="41" t="str">
        <f>IFERROR(__xludf.DUMMYFUNCTION("""COMPUTED_VALUE"""),"Zwaardsrust, Dundrasil, Puerto Valor: 9400")</f>
        <v>Zwaardsrust, Dundrasil, Puerto Valor: 9400</v>
      </c>
      <c r="I21" s="31"/>
    </row>
    <row r="22">
      <c r="A22" s="42" t="str">
        <f>IFERROR(__xludf.DUMMYFUNCTION("""COMPUTED_VALUE"""),"Dragonsbane")</f>
        <v>Dragonsbane</v>
      </c>
      <c r="B22" s="30" t="str">
        <f>IFERROR(__xludf.DUMMYFUNCTION("""COMPUTED_VALUE"""),"Attack")</f>
        <v>Attack</v>
      </c>
      <c r="C22" s="30">
        <f>IFERROR(__xludf.DUMMYFUNCTION("""COMPUTED_VALUE"""),72.0)</f>
        <v>72</v>
      </c>
      <c r="D22" s="30">
        <f>IFERROR(__xludf.DUMMYFUNCTION("""COMPUTED_VALUE"""),76.0)</f>
        <v>76</v>
      </c>
      <c r="E22" s="30">
        <f>IFERROR(__xludf.DUMMYFUNCTION("""COMPUTED_VALUE"""),80.0)</f>
        <v>80</v>
      </c>
      <c r="F22" s="30">
        <f>IFERROR(__xludf.DUMMYFUNCTION("""COMPUTED_VALUE"""),84.0)</f>
        <v>84</v>
      </c>
      <c r="G22" s="30" t="str">
        <f>IFERROR(__xludf.DUMMYFUNCTION("""COMPUTED_VALUE"""),"Bonus damage to Dragons (20%)")</f>
        <v>Bonus damage to Dragons (20%)</v>
      </c>
      <c r="H22" s="42" t="str">
        <f>IFERROR(__xludf.DUMMYFUNCTION("""COMPUTED_VALUE"""),"Octagonia, Lonalulu, Sniflheim: 11000
Recipe: More Dragony Designs")</f>
        <v>Octagonia, Lonalulu, Sniflheim: 11000
Recipe: More Dragony Designs</v>
      </c>
      <c r="I22" s="42" t="str">
        <f>IFERROR(__xludf.DUMMYFUNCTION("""COMPUTED_VALUE"""),"Mythril Ore: 2
Dragon Horn: 2
Red Eye: 2")</f>
        <v>Mythril Ore: 2
Dragon Horn: 2
Red Eye: 2</v>
      </c>
    </row>
    <row r="23">
      <c r="A23" s="41" t="str">
        <f>IFERROR(__xludf.DUMMYFUNCTION("""COMPUTED_VALUE"""),"Fizzle Foil")</f>
        <v>Fizzle Foil</v>
      </c>
      <c r="B23" s="31" t="str">
        <f>IFERROR(__xludf.DUMMYFUNCTION("""COMPUTED_VALUE"""),"Attack
Charm")</f>
        <v>Attack
Charm</v>
      </c>
      <c r="C23" s="31" t="str">
        <f>IFERROR(__xludf.DUMMYFUNCTION("""COMPUTED_VALUE"""),"80
22")</f>
        <v>80
22</v>
      </c>
      <c r="D23" s="31" t="str">
        <f>IFERROR(__xludf.DUMMYFUNCTION("""COMPUTED_VALUE"""),"83
23")</f>
        <v>83
23</v>
      </c>
      <c r="E23" s="31" t="str">
        <f>IFERROR(__xludf.DUMMYFUNCTION("""COMPUTED_VALUE"""),"86
24")</f>
        <v>86
24</v>
      </c>
      <c r="F23" s="31" t="str">
        <f>IFERROR(__xludf.DUMMYFUNCTION("""COMPUTED_VALUE"""),"90
25")</f>
        <v>90
25</v>
      </c>
      <c r="G23" s="31" t="str">
        <f>IFERROR(__xludf.DUMMYFUNCTION("""COMPUTED_VALUE"""),"--")</f>
        <v>--</v>
      </c>
      <c r="H23" s="41" t="str">
        <f>IFERROR(__xludf.DUMMYFUNCTION("""COMPUTED_VALUE"""),"Gallopolis, Gondolia: 14800
Recipe: Making the Most of Mythril")</f>
        <v>Gallopolis, Gondolia: 14800
Recipe: Making the Most of Mythril</v>
      </c>
      <c r="I23" s="41" t="str">
        <f>IFERROR(__xludf.DUMMYFUNCTION("""COMPUTED_VALUE"""),"Mythril Ore: 2
Narspicious: 2
Fatalistick: 2
Red Eye: 2")</f>
        <v>Mythril Ore: 2
Narspicious: 2
Fatalistick: 2
Red Eye: 2</v>
      </c>
    </row>
    <row r="24">
      <c r="A24" s="42" t="str">
        <f>IFERROR(__xludf.DUMMYFUNCTION("""COMPUTED_VALUE"""),"Miracle Sword")</f>
        <v>Miracle Sword</v>
      </c>
      <c r="B24" s="30" t="str">
        <f>IFERROR(__xludf.DUMMYFUNCTION("""COMPUTED_VALUE"""),"Attack
Charm")</f>
        <v>Attack
Charm</v>
      </c>
      <c r="C24" s="30" t="str">
        <f>IFERROR(__xludf.DUMMYFUNCTION("""COMPUTED_VALUE"""),"80
24")</f>
        <v>80
24</v>
      </c>
      <c r="D24" s="30" t="str">
        <f>IFERROR(__xludf.DUMMYFUNCTION("""COMPUTED_VALUE"""),"83
25")</f>
        <v>83
25</v>
      </c>
      <c r="E24" s="30" t="str">
        <f>IFERROR(__xludf.DUMMYFUNCTION("""COMPUTED_VALUE"""),"87
26")</f>
        <v>87
26</v>
      </c>
      <c r="F24" s="30" t="str">
        <f>IFERROR(__xludf.DUMMYFUNCTION("""COMPUTED_VALUE"""),"91
28")</f>
        <v>91
28</v>
      </c>
      <c r="G24" s="30" t="str">
        <f>IFERROR(__xludf.DUMMYFUNCTION("""COMPUTED_VALUE"""),"Portion of Damage Dealt Restored as HP (25%)")</f>
        <v>Portion of Damage Dealt Restored as HP (25%)</v>
      </c>
      <c r="H24" s="42" t="str">
        <f>IFERROR(__xludf.DUMMYFUNCTION("""COMPUTED_VALUE"""),"Mini Medal Stamp: 60")</f>
        <v>Mini Medal Stamp: 60</v>
      </c>
      <c r="I24" s="30"/>
    </row>
    <row r="25">
      <c r="A25" s="41" t="str">
        <f>IFERROR(__xludf.DUMMYFUNCTION("""COMPUTED_VALUE"""),"Metal Slime Sword")</f>
        <v>Metal Slime Sword</v>
      </c>
      <c r="B25" s="31" t="str">
        <f>IFERROR(__xludf.DUMMYFUNCTION("""COMPUTED_VALUE"""),"Attack")</f>
        <v>Attack</v>
      </c>
      <c r="C25" s="31">
        <f>IFERROR(__xludf.DUMMYFUNCTION("""COMPUTED_VALUE"""),84.0)</f>
        <v>84</v>
      </c>
      <c r="D25" s="31">
        <f>IFERROR(__xludf.DUMMYFUNCTION("""COMPUTED_VALUE"""),87.0)</f>
        <v>87</v>
      </c>
      <c r="E25" s="31">
        <f>IFERROR(__xludf.DUMMYFUNCTION("""COMPUTED_VALUE"""),91.0)</f>
        <v>91</v>
      </c>
      <c r="F25" s="31">
        <f>IFERROR(__xludf.DUMMYFUNCTION("""COMPUTED_VALUE"""),95.0)</f>
        <v>95</v>
      </c>
      <c r="G25" s="31" t="str">
        <f>IFERROR(__xludf.DUMMYFUNCTION("""COMPUTED_VALUE"""),"+1 damage to Metals")</f>
        <v>+1 damage to Metals</v>
      </c>
      <c r="H25" s="41" t="str">
        <f>IFERROR(__xludf.DUMMYFUNCTION("""COMPUTED_VALUE"""),"Puerto Valor Casino: 250000
Recipe: Things to Do With Metal Goo
Rare: Hyperpyrexion")</f>
        <v>Puerto Valor Casino: 250000
Recipe: Things to Do With Metal Goo
Rare: Hyperpyrexion</v>
      </c>
      <c r="I25" s="41" t="str">
        <f>IFERROR(__xludf.DUMMYFUNCTION("""COMPUTED_VALUE"""),"Molten Globules: 1
Slimedrop: 1
Dragon Horn -2
Big Bone: 2")</f>
        <v>Molten Globules: 1
Slimedrop: 1
Dragon Horn -2
Big Bone: 2</v>
      </c>
    </row>
    <row r="26">
      <c r="A26" s="42" t="str">
        <f>IFERROR(__xludf.DUMMYFUNCTION("""COMPUTED_VALUE"""),"Fire Blade")</f>
        <v>Fire Blade</v>
      </c>
      <c r="B26" s="30" t="str">
        <f>IFERROR(__xludf.DUMMYFUNCTION("""COMPUTED_VALUE"""),"Attack")</f>
        <v>Attack</v>
      </c>
      <c r="C26" s="30">
        <f>IFERROR(__xludf.DUMMYFUNCTION("""COMPUTED_VALUE"""),87.0)</f>
        <v>87</v>
      </c>
      <c r="D26" s="30">
        <f>IFERROR(__xludf.DUMMYFUNCTION("""COMPUTED_VALUE"""),90.0)</f>
        <v>90</v>
      </c>
      <c r="E26" s="30">
        <f>IFERROR(__xludf.DUMMYFUNCTION("""COMPUTED_VALUE"""),94.0)</f>
        <v>94</v>
      </c>
      <c r="F26" s="30">
        <f>IFERROR(__xludf.DUMMYFUNCTION("""COMPUTED_VALUE"""),98.0)</f>
        <v>98</v>
      </c>
      <c r="G26" s="30" t="str">
        <f>IFERROR(__xludf.DUMMYFUNCTION("""COMPUTED_VALUE"""),"Will deal fire damage when attacking")</f>
        <v>Will deal fire damage when attacking</v>
      </c>
      <c r="H26" s="42" t="str">
        <f>IFERROR(__xludf.DUMMYFUNCTION("""COMPUTED_VALUE"""),"Hotto: 22500
Common: Grumpy Grublin")</f>
        <v>Hotto: 22500
Common: Grumpy Grublin</v>
      </c>
      <c r="I26" s="30"/>
    </row>
    <row r="27">
      <c r="A27" s="41" t="str">
        <f>IFERROR(__xludf.DUMMYFUNCTION("""COMPUTED_VALUE"""),"Liquid Metal Sword")</f>
        <v>Liquid Metal Sword</v>
      </c>
      <c r="B27" s="31" t="str">
        <f>IFERROR(__xludf.DUMMYFUNCTION("""COMPUTED_VALUE"""),"Attack")</f>
        <v>Attack</v>
      </c>
      <c r="C27" s="31">
        <f>IFERROR(__xludf.DUMMYFUNCTION("""COMPUTED_VALUE"""),93.0)</f>
        <v>93</v>
      </c>
      <c r="D27" s="31">
        <f>IFERROR(__xludf.DUMMYFUNCTION("""COMPUTED_VALUE"""),96.0)</f>
        <v>96</v>
      </c>
      <c r="E27" s="31">
        <f>IFERROR(__xludf.DUMMYFUNCTION("""COMPUTED_VALUE"""),100.0)</f>
        <v>100</v>
      </c>
      <c r="F27" s="31">
        <f>IFERROR(__xludf.DUMMYFUNCTION("""COMPUTED_VALUE"""),105.0)</f>
        <v>105</v>
      </c>
      <c r="G27" s="31" t="str">
        <f>IFERROR(__xludf.DUMMYFUNCTION("""COMPUTED_VALUE"""),"+1 damage to Metals")</f>
        <v>+1 damage to Metals</v>
      </c>
      <c r="H27" s="41" t="str">
        <f>IFERROR(__xludf.DUMMYFUNCTION("""COMPUTED_VALUE"""),"Recipe: In Fine Fettle With Liquid Mettle")</f>
        <v>Recipe: In Fine Fettle With Liquid Mettle</v>
      </c>
      <c r="I27" s="41" t="str">
        <f>IFERROR(__xludf.DUMMYFUNCTION("""COMPUTED_VALUE"""),"Molten Globules: 1
Goobricant: 1
Dragon Horn: 2
Lamplight: 2")</f>
        <v>Molten Globules: 1
Goobricant: 1
Dragon Horn: 2
Lamplight: 2</v>
      </c>
    </row>
    <row r="28">
      <c r="A28" s="42" t="str">
        <f>IFERROR(__xludf.DUMMYFUNCTION("""COMPUTED_VALUE"""),"Dragon Slayer")</f>
        <v>Dragon Slayer</v>
      </c>
      <c r="B28" s="30" t="str">
        <f>IFERROR(__xludf.DUMMYFUNCTION("""COMPUTED_VALUE"""),"Attack")</f>
        <v>Attack</v>
      </c>
      <c r="C28" s="30">
        <f>IFERROR(__xludf.DUMMYFUNCTION("""COMPUTED_VALUE"""),96.0)</f>
        <v>96</v>
      </c>
      <c r="D28" s="30">
        <f>IFERROR(__xludf.DUMMYFUNCTION("""COMPUTED_VALUE"""),100.0)</f>
        <v>100</v>
      </c>
      <c r="E28" s="30">
        <f>IFERROR(__xludf.DUMMYFUNCTION("""COMPUTED_VALUE"""),104.0)</f>
        <v>104</v>
      </c>
      <c r="F28" s="30">
        <f>IFERROR(__xludf.DUMMYFUNCTION("""COMPUTED_VALUE"""),109.0)</f>
        <v>109</v>
      </c>
      <c r="G28" s="30" t="str">
        <f>IFERROR(__xludf.DUMMYFUNCTION("""COMPUTED_VALUE"""),"Bonus damage to Dragons (40%)")</f>
        <v>Bonus damage to Dragons (40%)</v>
      </c>
      <c r="H28" s="42" t="str">
        <f>IFERROR(__xludf.DUMMYFUNCTION("""COMPUTED_VALUE"""),"Heliodor: 24000")</f>
        <v>Heliodor: 24000</v>
      </c>
      <c r="I28" s="30"/>
    </row>
    <row r="29">
      <c r="A29" s="41" t="str">
        <f>IFERROR(__xludf.DUMMYFUNCTION("""COMPUTED_VALUE"""),"Inferno Blade")</f>
        <v>Inferno Blade</v>
      </c>
      <c r="B29" s="31" t="str">
        <f>IFERROR(__xludf.DUMMYFUNCTION("""COMPUTED_VALUE"""),"Attack")</f>
        <v>Attack</v>
      </c>
      <c r="C29" s="31">
        <f>IFERROR(__xludf.DUMMYFUNCTION("""COMPUTED_VALUE"""),111.0)</f>
        <v>111</v>
      </c>
      <c r="D29" s="31">
        <f>IFERROR(__xludf.DUMMYFUNCTION("""COMPUTED_VALUE"""),118.0)</f>
        <v>118</v>
      </c>
      <c r="E29" s="31">
        <f>IFERROR(__xludf.DUMMYFUNCTION("""COMPUTED_VALUE"""),125.0)</f>
        <v>125</v>
      </c>
      <c r="F29" s="31">
        <f>IFERROR(__xludf.DUMMYFUNCTION("""COMPUTED_VALUE"""),132.0)</f>
        <v>132</v>
      </c>
      <c r="G29" s="31" t="str">
        <f>IFERROR(__xludf.DUMMYFUNCTION("""COMPUTED_VALUE"""),"Will deal fire damage when attacking")</f>
        <v>Will deal fire damage when attacking</v>
      </c>
      <c r="H29" s="41" t="str">
        <f>IFERROR(__xludf.DUMMYFUNCTION("""COMPUTED_VALUE"""),"Recipe: Sizzling Styles")</f>
        <v>Recipe: Sizzling Styles</v>
      </c>
      <c r="I29" s="41" t="str">
        <f>IFERROR(__xludf.DUMMYFUNCTION("""COMPUTED_VALUE"""),"Lava Lump: 2
Rockbomb Shard: 2
Royal Ruby: 1
Densinium: 2")</f>
        <v>Lava Lump: 2
Rockbomb Shard: 2
Royal Ruby: 1
Densinium: 2</v>
      </c>
    </row>
    <row r="30">
      <c r="A30" s="42" t="str">
        <f>IFERROR(__xludf.DUMMYFUNCTION("""COMPUTED_VALUE"""),"Thunderstorm Sword")</f>
        <v>Thunderstorm Sword</v>
      </c>
      <c r="B30" s="30" t="str">
        <f>IFERROR(__xludf.DUMMYFUNCTION("""COMPUTED_VALUE"""),"Attack
Charm")</f>
        <v>Attack
Charm</v>
      </c>
      <c r="C30" s="30" t="str">
        <f>IFERROR(__xludf.DUMMYFUNCTION("""COMPUTED_VALUE"""),"111
32")</f>
        <v>111
32</v>
      </c>
      <c r="D30" s="30" t="str">
        <f>IFERROR(__xludf.DUMMYFUNCTION("""COMPUTED_VALUE"""),"118
33")</f>
        <v>118
33</v>
      </c>
      <c r="E30" s="30" t="str">
        <f>IFERROR(__xludf.DUMMYFUNCTION("""COMPUTED_VALUE"""),"125
34")</f>
        <v>125
34</v>
      </c>
      <c r="F30" s="30" t="str">
        <f>IFERROR(__xludf.DUMMYFUNCTION("""COMPUTED_VALUE"""),"133
35")</f>
        <v>133
35</v>
      </c>
      <c r="G30" s="30" t="str">
        <f>IFERROR(__xludf.DUMMYFUNCTION("""COMPUTED_VALUE"""),"Max MP +12
Will deal lightning damage when attacking")</f>
        <v>Max MP +12
Will deal lightning damage when attacking</v>
      </c>
      <c r="H30" s="42" t="str">
        <f>IFERROR(__xludf.DUMMYFUNCTION("""COMPUTED_VALUE"""),"Postgame event: Gondolia
Rare: One-Man Army")</f>
        <v>Postgame event: Gondolia
Rare: One-Man Army</v>
      </c>
      <c r="I30" s="30"/>
    </row>
    <row r="31">
      <c r="A31" s="41" t="str">
        <f>IFERROR(__xludf.DUMMYFUNCTION("""COMPUTED_VALUE"""),"Sword of Kings")</f>
        <v>Sword of Kings</v>
      </c>
      <c r="B31" s="31" t="str">
        <f>IFERROR(__xludf.DUMMYFUNCTION("""COMPUTED_VALUE"""),"Attack
Charm")</f>
        <v>Attack
Charm</v>
      </c>
      <c r="C31" s="31" t="str">
        <f>IFERROR(__xludf.DUMMYFUNCTION("""COMPUTED_VALUE"""),"120
32")</f>
        <v>120
32</v>
      </c>
      <c r="D31" s="31" t="str">
        <f>IFERROR(__xludf.DUMMYFUNCTION("""COMPUTED_VALUE"""),"--")</f>
        <v>--</v>
      </c>
      <c r="E31" s="31" t="str">
        <f>IFERROR(__xludf.DUMMYFUNCTION("""COMPUTED_VALUE"""),"--")</f>
        <v>--</v>
      </c>
      <c r="F31" s="31" t="str">
        <f>IFERROR(__xludf.DUMMYFUNCTION("""COMPUTED_VALUE"""),"--")</f>
        <v>--</v>
      </c>
      <c r="G31" s="31" t="str">
        <f>IFERROR(__xludf.DUMMYFUNCTION("""COMPUTED_VALUE"""),"Wind damage to group when used as item")</f>
        <v>Wind damage to group when used as item</v>
      </c>
      <c r="H31" s="41" t="str">
        <f>IFERROR(__xludf.DUMMYFUNCTION("""COMPUTED_VALUE"""),"Postgame event: Hotto")</f>
        <v>Postgame event: Hotto</v>
      </c>
      <c r="I31" s="31"/>
    </row>
    <row r="32">
      <c r="A32" s="42" t="str">
        <f>IFERROR(__xludf.DUMMYFUNCTION("""COMPUTED_VALUE"""),"Thousand-Fold Katana")</f>
        <v>Thousand-Fold Katana</v>
      </c>
      <c r="B32" s="30" t="str">
        <f>IFERROR(__xludf.DUMMYFUNCTION("""COMPUTED_VALUE"""),"Attack")</f>
        <v>Attack</v>
      </c>
      <c r="C32" s="30">
        <f>IFERROR(__xludf.DUMMYFUNCTION("""COMPUTED_VALUE"""),136.0)</f>
        <v>136</v>
      </c>
      <c r="D32" s="30">
        <f>IFERROR(__xludf.DUMMYFUNCTION("""COMPUTED_VALUE"""),143.0)</f>
        <v>143</v>
      </c>
      <c r="E32" s="30">
        <f>IFERROR(__xludf.DUMMYFUNCTION("""COMPUTED_VALUE"""),150.0)</f>
        <v>150</v>
      </c>
      <c r="F32" s="30">
        <f>IFERROR(__xludf.DUMMYFUNCTION("""COMPUTED_VALUE"""),158.0)</f>
        <v>158</v>
      </c>
      <c r="G32" s="30" t="str">
        <f>IFERROR(__xludf.DUMMYFUNCTION("""COMPUTED_VALUE"""),"Chance to reduce enemy defense (8%)")</f>
        <v>Chance to reduce enemy defense (8%)</v>
      </c>
      <c r="H32" s="42" t="str">
        <f>IFERROR(__xludf.DUMMYFUNCTION("""COMPUTED_VALUE"""),"Postgame event: Hotto")</f>
        <v>Postgame event: Hotto</v>
      </c>
      <c r="I32" s="30"/>
    </row>
    <row r="33">
      <c r="A33" s="41" t="str">
        <f>IFERROR(__xludf.DUMMYFUNCTION("""COMPUTED_VALUE"""),"Uber Falcon Blade")</f>
        <v>Uber Falcon Blade</v>
      </c>
      <c r="B33" s="31" t="str">
        <f>IFERROR(__xludf.DUMMYFUNCTION("""COMPUTED_VALUE"""),"Attack")</f>
        <v>Attack</v>
      </c>
      <c r="C33" s="31">
        <f>IFERROR(__xludf.DUMMYFUNCTION("""COMPUTED_VALUE"""),94.0)</f>
        <v>94</v>
      </c>
      <c r="D33" s="31">
        <f>IFERROR(__xludf.DUMMYFUNCTION("""COMPUTED_VALUE"""),99.0)</f>
        <v>99</v>
      </c>
      <c r="E33" s="31">
        <f>IFERROR(__xludf.DUMMYFUNCTION("""COMPUTED_VALUE"""),104.0)</f>
        <v>104</v>
      </c>
      <c r="F33" s="31">
        <f>IFERROR(__xludf.DUMMYFUNCTION("""COMPUTED_VALUE"""),109.0)</f>
        <v>109</v>
      </c>
      <c r="G33" s="31" t="str">
        <f>IFERROR(__xludf.DUMMYFUNCTION("""COMPUTED_VALUE"""),"Attacks twice")</f>
        <v>Attacks twice</v>
      </c>
      <c r="H33" s="41" t="str">
        <f>IFERROR(__xludf.DUMMYFUNCTION("""COMPUTED_VALUE"""),"Recipe: Uberswords Illustrated
Rare: Uberkilling Machine")</f>
        <v>Recipe: Uberswords Illustrated
Rare: Uberkilling Machine</v>
      </c>
      <c r="I33" s="41" t="str">
        <f>IFERROR(__xludf.DUMMYFUNCTION("""COMPUTED_VALUE"""),"Dracolyte: 2
Molten Globules: 1
Artful Amethyst: 2
Agate of Evolution: 1")</f>
        <v>Dracolyte: 2
Molten Globules: 1
Artful Amethyst: 2
Agate of Evolution: 1</v>
      </c>
    </row>
    <row r="34">
      <c r="A34" s="42" t="str">
        <f>IFERROR(__xludf.DUMMYFUNCTION("""COMPUTED_VALUE"""),"Uber Miracle Sword")</f>
        <v>Uber Miracle Sword</v>
      </c>
      <c r="B34" s="30" t="str">
        <f>IFERROR(__xludf.DUMMYFUNCTION("""COMPUTED_VALUE"""),"Attack
Charm")</f>
        <v>Attack
Charm</v>
      </c>
      <c r="C34" s="30" t="str">
        <f>IFERROR(__xludf.DUMMYFUNCTION("""COMPUTED_VALUE"""),"135
37")</f>
        <v>135
37</v>
      </c>
      <c r="D34" s="30" t="str">
        <f>IFERROR(__xludf.DUMMYFUNCTION("""COMPUTED_VALUE"""),"142
38")</f>
        <v>142
38</v>
      </c>
      <c r="E34" s="30" t="str">
        <f>IFERROR(__xludf.DUMMYFUNCTION("""COMPUTED_VALUE"""),"149
39")</f>
        <v>149
39</v>
      </c>
      <c r="F34" s="30" t="str">
        <f>IFERROR(__xludf.DUMMYFUNCTION("""COMPUTED_VALUE"""),"156
40")</f>
        <v>156
40</v>
      </c>
      <c r="G34" s="30" t="str">
        <f>IFERROR(__xludf.DUMMYFUNCTION("""COMPUTED_VALUE"""),"Portion of Damage Dealt Restored as HP (30%)")</f>
        <v>Portion of Damage Dealt Restored as HP (30%)</v>
      </c>
      <c r="H34" s="42" t="str">
        <f>IFERROR(__xludf.DUMMYFUNCTION("""COMPUTED_VALUE"""),"Recipe: Uberswords Illustrated")</f>
        <v>Recipe: Uberswords Illustrated</v>
      </c>
      <c r="I34" s="42" t="str">
        <f>IFERROR(__xludf.DUMMYFUNCTION("""COMPUTED_VALUE"""),"Platinum Ore: 2
Molten Globules: 1
Savvy Sapphire: 1
Pep Pip: 1")</f>
        <v>Platinum Ore: 2
Molten Globules: 1
Savvy Sapphire: 1
Pep Pip: 1</v>
      </c>
    </row>
    <row r="35">
      <c r="A35" s="41" t="str">
        <f>IFERROR(__xludf.DUMMYFUNCTION("""COMPUTED_VALUE"""),"Shamshir of Light")</f>
        <v>Shamshir of Light</v>
      </c>
      <c r="B35" s="31" t="str">
        <f>IFERROR(__xludf.DUMMYFUNCTION("""COMPUTED_VALUE"""),"Attack
Charm")</f>
        <v>Attack
Charm</v>
      </c>
      <c r="C35" s="31" t="str">
        <f>IFERROR(__xludf.DUMMYFUNCTION("""COMPUTED_VALUE"""),"158
42")</f>
        <v>158
42</v>
      </c>
      <c r="D35" s="31" t="str">
        <f>IFERROR(__xludf.DUMMYFUNCTION("""COMPUTED_VALUE"""),"165
43")</f>
        <v>165
43</v>
      </c>
      <c r="E35" s="31" t="str">
        <f>IFERROR(__xludf.DUMMYFUNCTION("""COMPUTED_VALUE"""),"172
44")</f>
        <v>172
44</v>
      </c>
      <c r="F35" s="31" t="str">
        <f>IFERROR(__xludf.DUMMYFUNCTION("""COMPUTED_VALUE"""),"180
46")</f>
        <v>180
46</v>
      </c>
      <c r="G35" s="31" t="str">
        <f>IFERROR(__xludf.DUMMYFUNCTION("""COMPUTED_VALUE"""),"Will deal light damage when attacking")</f>
        <v>Will deal light damage when attacking</v>
      </c>
      <c r="H35" s="41" t="str">
        <f>IFERROR(__xludf.DUMMYFUNCTION("""COMPUTED_VALUE"""),"Recipe: Big Hitters of the Battlefield
Rare: Noble Dragon")</f>
        <v>Recipe: Big Hitters of the Battlefield
Rare: Noble Dragon</v>
      </c>
      <c r="I35" s="41" t="str">
        <f>IFERROR(__xludf.DUMMYFUNCTION("""COMPUTED_VALUE"""),"Brighten Rock: 1
Glimmergrass: 2
Sparkly Sap: 3
Dracolyte: 1
Crimsonite: 1")</f>
        <v>Brighten Rock: 1
Glimmergrass: 2
Sparkly Sap: 3
Dracolyte: 1
Crimsonite: 1</v>
      </c>
    </row>
    <row r="36">
      <c r="A36" s="42" t="str">
        <f>IFERROR(__xludf.DUMMYFUNCTION("""COMPUTED_VALUE"""),"Metal King Sword")</f>
        <v>Metal King Sword</v>
      </c>
      <c r="B36" s="30" t="str">
        <f>IFERROR(__xludf.DUMMYFUNCTION("""COMPUTED_VALUE"""),"Attack")</f>
        <v>Attack</v>
      </c>
      <c r="C36" s="30">
        <f>IFERROR(__xludf.DUMMYFUNCTION("""COMPUTED_VALUE"""),161.0)</f>
        <v>161</v>
      </c>
      <c r="D36" s="30">
        <f>IFERROR(__xludf.DUMMYFUNCTION("""COMPUTED_VALUE"""),168.0)</f>
        <v>168</v>
      </c>
      <c r="E36" s="30">
        <f>IFERROR(__xludf.DUMMYFUNCTION("""COMPUTED_VALUE"""),175.0)</f>
        <v>175</v>
      </c>
      <c r="F36" s="30">
        <f>IFERROR(__xludf.DUMMYFUNCTION("""COMPUTED_VALUE"""),183.0)</f>
        <v>183</v>
      </c>
      <c r="G36" s="30" t="str">
        <f>IFERROR(__xludf.DUMMYFUNCTION("""COMPUTED_VALUE"""),"+1 damage to Metals")</f>
        <v>+1 damage to Metals</v>
      </c>
      <c r="H36" s="42" t="str">
        <f>IFERROR(__xludf.DUMMYFUNCTION("""COMPUTED_VALUE"""),"Recipe: Making Things With Metal Kings")</f>
        <v>Recipe: Making Things With Metal Kings</v>
      </c>
      <c r="I36" s="42" t="str">
        <f>IFERROR(__xludf.DUMMYFUNCTION("""COMPUTED_VALUE"""),"Molten Globules: 1
Slime Crown: 1
Serpent Bone: 1
Lamplight: 2")</f>
        <v>Molten Globules: 1
Slime Crown: 1
Serpent Bone: 1
Lamplight: 2</v>
      </c>
    </row>
    <row r="37">
      <c r="A37" s="41" t="str">
        <f>IFERROR(__xludf.DUMMYFUNCTION("""COMPUTED_VALUE"""),"Sword of Judgment")</f>
        <v>Sword of Judgment</v>
      </c>
      <c r="B37" s="31" t="str">
        <f>IFERROR(__xludf.DUMMYFUNCTION("""COMPUTED_VALUE"""),"Attack")</f>
        <v>Attack</v>
      </c>
      <c r="C37" s="31">
        <f>IFERROR(__xludf.DUMMYFUNCTION("""COMPUTED_VALUE"""),150.0)</f>
        <v>150</v>
      </c>
      <c r="D37" s="31">
        <f>IFERROR(__xludf.DUMMYFUNCTION("""COMPUTED_VALUE"""),157.0)</f>
        <v>157</v>
      </c>
      <c r="E37" s="31">
        <f>IFERROR(__xludf.DUMMYFUNCTION("""COMPUTED_VALUE"""),164.0)</f>
        <v>164</v>
      </c>
      <c r="F37" s="31">
        <f>IFERROR(__xludf.DUMMYFUNCTION("""COMPUTED_VALUE"""),171.0)</f>
        <v>171</v>
      </c>
      <c r="G37" s="31" t="str">
        <f>IFERROR(__xludf.DUMMYFUNCTION("""COMPUTED_VALUE"""),"Chance to reduce enemy attack (8%)")</f>
        <v>Chance to reduce enemy attack (8%)</v>
      </c>
      <c r="H37" s="41" t="str">
        <f>IFERROR(__xludf.DUMMYFUNCTION("""COMPUTED_VALUE"""),"Recipe: Ye Manifold Methods of Mighty Drustan
Rare: A3G15")</f>
        <v>Recipe: Ye Manifold Methods of Mighty Drustan
Rare: A3G15</v>
      </c>
      <c r="I37" s="41" t="str">
        <f>IFERROR(__xludf.DUMMYFUNCTION("""COMPUTED_VALUE"""),"Densinium: 2
Angel Bell: 3
Kaleidocloth: 2
Sainted Soma: 1
Saint's Ashes: 1")</f>
        <v>Densinium: 2
Angel Bell: 3
Kaleidocloth: 2
Sainted Soma: 1
Saint's Ashes: 1</v>
      </c>
    </row>
    <row r="38">
      <c r="A38" s="42" t="str">
        <f>IFERROR(__xludf.DUMMYFUNCTION("""COMPUTED_VALUE"""),"Drustan's Sword")</f>
        <v>Drustan's Sword</v>
      </c>
      <c r="B38" s="30" t="str">
        <f>IFERROR(__xludf.DUMMYFUNCTION("""COMPUTED_VALUE"""),"Attack")</f>
        <v>Attack</v>
      </c>
      <c r="C38" s="30">
        <f>IFERROR(__xludf.DUMMYFUNCTION("""COMPUTED_VALUE"""),163.0)</f>
        <v>163</v>
      </c>
      <c r="D38" s="30">
        <f>IFERROR(__xludf.DUMMYFUNCTION("""COMPUTED_VALUE"""),170.0)</f>
        <v>170</v>
      </c>
      <c r="E38" s="30">
        <f>IFERROR(__xludf.DUMMYFUNCTION("""COMPUTED_VALUE"""),177.0)</f>
        <v>177</v>
      </c>
      <c r="F38" s="30">
        <f>IFERROR(__xludf.DUMMYFUNCTION("""COMPUTED_VALUE"""),185.0)</f>
        <v>185</v>
      </c>
      <c r="G38" s="30" t="str">
        <f>IFERROR(__xludf.DUMMYFUNCTION("""COMPUTED_VALUE"""),"Enemies more likely to attack the wielder")</f>
        <v>Enemies more likely to attack the wielder</v>
      </c>
      <c r="H38" s="42" t="str">
        <f>IFERROR(__xludf.DUMMYFUNCTION("""COMPUTED_VALUE"""),"Chest: Luminary's Trial")</f>
        <v>Chest: Luminary's Trial</v>
      </c>
      <c r="I38" s="30"/>
    </row>
    <row r="39">
      <c r="A39" s="41" t="str">
        <f>IFERROR(__xludf.DUMMYFUNCTION("""COMPUTED_VALUE"""),"Hell Sabre")</f>
        <v>Hell Sabre</v>
      </c>
      <c r="B39" s="31" t="str">
        <f>IFERROR(__xludf.DUMMYFUNCTION("""COMPUTED_VALUE"""),"Attack")</f>
        <v>Attack</v>
      </c>
      <c r="C39" s="31">
        <f>IFERROR(__xludf.DUMMYFUNCTION("""COMPUTED_VALUE"""),155.0)</f>
        <v>155</v>
      </c>
      <c r="D39" s="31">
        <f>IFERROR(__xludf.DUMMYFUNCTION("""COMPUTED_VALUE"""),162.0)</f>
        <v>162</v>
      </c>
      <c r="E39" s="31">
        <f>IFERROR(__xludf.DUMMYFUNCTION("""COMPUTED_VALUE"""),169.0)</f>
        <v>169</v>
      </c>
      <c r="F39" s="31">
        <f>IFERROR(__xludf.DUMMYFUNCTION("""COMPUTED_VALUE"""),176.0)</f>
        <v>176</v>
      </c>
      <c r="G39" s="31" t="str">
        <f>IFERROR(__xludf.DUMMYFUNCTION("""COMPUTED_VALUE"""),"--")</f>
        <v>--</v>
      </c>
      <c r="H39" s="41" t="str">
        <f>IFERROR(__xludf.DUMMYFUNCTION("""COMPUTED_VALUE"""),"Rare: Barbatos")</f>
        <v>Rare: Barbatos</v>
      </c>
      <c r="I39" s="31"/>
    </row>
    <row r="40">
      <c r="A40" s="42" t="str">
        <f>IFERROR(__xludf.DUMMYFUNCTION("""COMPUTED_VALUE"""),"Stardust Sword")</f>
        <v>Stardust Sword</v>
      </c>
      <c r="B40" s="30" t="str">
        <f>IFERROR(__xludf.DUMMYFUNCTION("""COMPUTED_VALUE"""),"Attack
Charm")</f>
        <v>Attack
Charm</v>
      </c>
      <c r="C40" s="30" t="str">
        <f>IFERROR(__xludf.DUMMYFUNCTION("""COMPUTED_VALUE"""),"96
25")</f>
        <v>96
25</v>
      </c>
      <c r="D40" s="30" t="str">
        <f>IFERROR(__xludf.DUMMYFUNCTION("""COMPUTED_VALUE"""),"--")</f>
        <v>--</v>
      </c>
      <c r="E40" s="30" t="str">
        <f>IFERROR(__xludf.DUMMYFUNCTION("""COMPUTED_VALUE"""),"--")</f>
        <v>--</v>
      </c>
      <c r="F40" s="30" t="str">
        <f>IFERROR(__xludf.DUMMYFUNCTION("""COMPUTED_VALUE"""),"--")</f>
        <v>--</v>
      </c>
      <c r="G40" s="30" t="str">
        <f>IFERROR(__xludf.DUMMYFUNCTION("""COMPUTED_VALUE"""),"Chance to reduce enemy defense (8%)")</f>
        <v>Chance to reduce enemy defense (8%)</v>
      </c>
      <c r="H40" s="42" t="str">
        <f>IFERROR(__xludf.DUMMYFUNCTION("""COMPUTED_VALUE"""),"Chest: Final Dungeon
Chest: First Forest: Whale Way Station (if missed)")</f>
        <v>Chest: Final Dungeon
Chest: First Forest: Whale Way Station (if missed)</v>
      </c>
      <c r="I40" s="30"/>
    </row>
    <row r="41">
      <c r="A41" s="41" t="str">
        <f>IFERROR(__xludf.DUMMYFUNCTION("""COMPUTED_VALUE"""),"Nebula Sword")</f>
        <v>Nebula Sword</v>
      </c>
      <c r="B41" s="31" t="str">
        <f>IFERROR(__xludf.DUMMYFUNCTION("""COMPUTED_VALUE"""),"Attack
Charm")</f>
        <v>Attack
Charm</v>
      </c>
      <c r="C41" s="31" t="str">
        <f>IFERROR(__xludf.DUMMYFUNCTION("""COMPUTED_VALUE"""),"123
30")</f>
        <v>123
30</v>
      </c>
      <c r="D41" s="31" t="str">
        <f>IFERROR(__xludf.DUMMYFUNCTION("""COMPUTED_VALUE"""),"--")</f>
        <v>--</v>
      </c>
      <c r="E41" s="31" t="str">
        <f>IFERROR(__xludf.DUMMYFUNCTION("""COMPUTED_VALUE"""),"--")</f>
        <v>--</v>
      </c>
      <c r="F41" s="31" t="str">
        <f>IFERROR(__xludf.DUMMYFUNCTION("""COMPUTED_VALUE"""),"--")</f>
        <v>--</v>
      </c>
      <c r="G41" s="31" t="str">
        <f>IFERROR(__xludf.DUMMYFUNCTION("""COMPUTED_VALUE"""),"Chance to reduce enemy defense (10%)")</f>
        <v>Chance to reduce enemy defense (10%)</v>
      </c>
      <c r="H41" s="41" t="str">
        <f>IFERROR(__xludf.DUMMYFUNCTION("""COMPUTED_VALUE"""),"Recipe: A Hero's Book of Basic Weapons")</f>
        <v>Recipe: A Hero's Book of Basic Weapons</v>
      </c>
      <c r="I41" s="41" t="str">
        <f>IFERROR(__xludf.DUMMYFUNCTION("""COMPUTED_VALUE"""),"Stardust Sword: 1
Agate of Evolution: 1
Evencloth: 1
Lucida Shard: 1")</f>
        <v>Stardust Sword: 1
Agate of Evolution: 1
Evencloth: 1
Lucida Shard: 1</v>
      </c>
    </row>
    <row r="42">
      <c r="A42" s="42" t="str">
        <f>IFERROR(__xludf.DUMMYFUNCTION("""COMPUTED_VALUE"""),"Supernova Sword")</f>
        <v>Supernova Sword</v>
      </c>
      <c r="B42" s="30" t="str">
        <f>IFERROR(__xludf.DUMMYFUNCTION("""COMPUTED_VALUE"""),"Attack
Charm")</f>
        <v>Attack
Charm</v>
      </c>
      <c r="C42" s="30" t="str">
        <f>IFERROR(__xludf.DUMMYFUNCTION("""COMPUTED_VALUE"""),"147
35")</f>
        <v>147
35</v>
      </c>
      <c r="D42" s="30" t="str">
        <f>IFERROR(__xludf.DUMMYFUNCTION("""COMPUTED_VALUE"""),"--")</f>
        <v>--</v>
      </c>
      <c r="E42" s="30" t="str">
        <f>IFERROR(__xludf.DUMMYFUNCTION("""COMPUTED_VALUE"""),"--")</f>
        <v>--</v>
      </c>
      <c r="F42" s="30" t="str">
        <f>IFERROR(__xludf.DUMMYFUNCTION("""COMPUTED_VALUE"""),"--")</f>
        <v>--</v>
      </c>
      <c r="G42" s="30" t="str">
        <f>IFERROR(__xludf.DUMMYFUNCTION("""COMPUTED_VALUE"""),"Chance to reduce enemy defense (12%)")</f>
        <v>Chance to reduce enemy defense (12%)</v>
      </c>
      <c r="H42" s="42" t="str">
        <f>IFERROR(__xludf.DUMMYFUNCTION("""COMPUTED_VALUE"""),"Recipe: A Hero's Book of Better Weapons")</f>
        <v>Recipe: A Hero's Book of Better Weapons</v>
      </c>
      <c r="I42" s="42" t="str">
        <f>IFERROR(__xludf.DUMMYFUNCTION("""COMPUTED_VALUE"""),"Nebula Sword: 1
Agate of Evolution: 3
Evencloth: 2
Lucida Shard: 2
Artful Amethyst: 1")</f>
        <v>Nebula Sword: 1
Agate of Evolution: 3
Evencloth: 2
Lucida Shard: 2
Artful Amethyst: 1</v>
      </c>
    </row>
    <row r="43">
      <c r="A43" s="41" t="str">
        <f>IFERROR(__xludf.DUMMYFUNCTION("""COMPUTED_VALUE"""),"Hypernova Sword")</f>
        <v>Hypernova Sword</v>
      </c>
      <c r="B43" s="31" t="str">
        <f>IFERROR(__xludf.DUMMYFUNCTION("""COMPUTED_VALUE"""),"Attack
Charm")</f>
        <v>Attack
Charm</v>
      </c>
      <c r="C43" s="31" t="str">
        <f>IFERROR(__xludf.DUMMYFUNCTION("""COMPUTED_VALUE"""),"182
47")</f>
        <v>182
47</v>
      </c>
      <c r="D43" s="31" t="str">
        <f>IFERROR(__xludf.DUMMYFUNCTION("""COMPUTED_VALUE"""),"186
48")</f>
        <v>186
48</v>
      </c>
      <c r="E43" s="31" t="str">
        <f>IFERROR(__xludf.DUMMYFUNCTION("""COMPUTED_VALUE"""),"191
49")</f>
        <v>191
49</v>
      </c>
      <c r="F43" s="31" t="str">
        <f>IFERROR(__xludf.DUMMYFUNCTION("""COMPUTED_VALUE"""),"196
50")</f>
        <v>196
50</v>
      </c>
      <c r="G43" s="31" t="str">
        <f>IFERROR(__xludf.DUMMYFUNCTION("""COMPUTED_VALUE"""),"Chance to reduce enemy defense (12/16/20/24%)")</f>
        <v>Chance to reduce enemy defense (12/16/20/24%)</v>
      </c>
      <c r="H43" s="41" t="str">
        <f>IFERROR(__xludf.DUMMYFUNCTION("""COMPUTED_VALUE"""),"Recipe: A Hero's Book of Brilliant Weapons")</f>
        <v>Recipe: A Hero's Book of Brilliant Weapons</v>
      </c>
      <c r="I43" s="41" t="str">
        <f>IFERROR(__xludf.DUMMYFUNCTION("""COMPUTED_VALUE"""),"Supernova Sword: 1
Uber Agate of Evolution: 1
Evencloth: 3
Lucida Shard -3
Crimsonite: 1")</f>
        <v>Supernova Sword: 1
Uber Agate of Evolution: 1
Evencloth: 3
Lucida Shard -3
Crimsonite: 1</v>
      </c>
    </row>
    <row r="44">
      <c r="A44" s="42" t="str">
        <f>IFERROR(__xludf.DUMMYFUNCTION("""COMPUTED_VALUE"""),"Sword of Light")</f>
        <v>Sword of Light</v>
      </c>
      <c r="B44" s="30" t="str">
        <f>IFERROR(__xludf.DUMMYFUNCTION("""COMPUTED_VALUE"""),"Attack
Charm")</f>
        <v>Attack
Charm</v>
      </c>
      <c r="C44" s="30" t="str">
        <f>IFERROR(__xludf.DUMMYFUNCTION("""COMPUTED_VALUE"""),"109
50")</f>
        <v>109
50</v>
      </c>
      <c r="D44" s="30" t="str">
        <f>IFERROR(__xludf.DUMMYFUNCTION("""COMPUTED_VALUE"""),"--")</f>
        <v>--</v>
      </c>
      <c r="E44" s="30" t="str">
        <f>IFERROR(__xludf.DUMMYFUNCTION("""COMPUTED_VALUE"""),"--")</f>
        <v>--</v>
      </c>
      <c r="F44" s="30" t="str">
        <f>IFERROR(__xludf.DUMMYFUNCTION("""COMPUTED_VALUE"""),"--")</f>
        <v>--</v>
      </c>
      <c r="G44" s="30" t="str">
        <f>IFERROR(__xludf.DUMMYFUNCTION("""COMPUTED_VALUE"""),"Will deal lightning damage when attacking
Cures an ally of negative status")</f>
        <v>Will deal lightning damage when attacking
Cures an ally of negative status</v>
      </c>
      <c r="H44" s="42" t="str">
        <f>IFERROR(__xludf.DUMMYFUNCTION("""COMPUTED_VALUE"""),"Story")</f>
        <v>Story</v>
      </c>
      <c r="I44" s="30"/>
    </row>
    <row r="45">
      <c r="A45" s="41" t="str">
        <f>IFERROR(__xludf.DUMMYFUNCTION("""COMPUTED_VALUE"""),"Super Sword of Light")</f>
        <v>Super Sword of Light</v>
      </c>
      <c r="B45" s="31" t="str">
        <f>IFERROR(__xludf.DUMMYFUNCTION("""COMPUTED_VALUE"""),"Attack
Charm")</f>
        <v>Attack
Charm</v>
      </c>
      <c r="C45" s="31" t="str">
        <f>IFERROR(__xludf.DUMMYFUNCTION("""COMPUTED_VALUE"""),"151
80")</f>
        <v>151
80</v>
      </c>
      <c r="D45" s="31" t="str">
        <f>IFERROR(__xludf.DUMMYFUNCTION("""COMPUTED_VALUE"""),"--")</f>
        <v>--</v>
      </c>
      <c r="E45" s="31" t="str">
        <f>IFERROR(__xludf.DUMMYFUNCTION("""COMPUTED_VALUE"""),"--")</f>
        <v>--</v>
      </c>
      <c r="F45" s="31" t="str">
        <f>IFERROR(__xludf.DUMMYFUNCTION("""COMPUTED_VALUE"""),"--")</f>
        <v>--</v>
      </c>
      <c r="G45" s="31" t="str">
        <f>IFERROR(__xludf.DUMMYFUNCTION("""COMPUTED_VALUE"""),"Chance to remove enemy buffs (3%)
Will deal lightning damage when attacking
Remove evil aura when used as an item")</f>
        <v>Chance to remove enemy buffs (3%)
Will deal lightning damage when attacking
Remove evil aura when used as an item</v>
      </c>
      <c r="H45" s="41" t="str">
        <f>IFERROR(__xludf.DUMMYFUNCTION("""COMPUTED_VALUE"""),"Story")</f>
        <v>Story</v>
      </c>
      <c r="I45" s="31"/>
    </row>
    <row r="46">
      <c r="A46" s="42" t="str">
        <f>IFERROR(__xludf.DUMMYFUNCTION("""COMPUTED_VALUE"""),"Supreme Sword of Light")</f>
        <v>Supreme Sword of Light</v>
      </c>
      <c r="B46" s="30" t="str">
        <f>IFERROR(__xludf.DUMMYFUNCTION("""COMPUTED_VALUE"""),"Attack
Charm")</f>
        <v>Attack
Charm</v>
      </c>
      <c r="C46" s="30" t="str">
        <f>IFERROR(__xludf.DUMMYFUNCTION("""COMPUTED_VALUE"""),"151
94")</f>
        <v>151
94</v>
      </c>
      <c r="D46" s="30" t="str">
        <f>IFERROR(__xludf.DUMMYFUNCTION("""COMPUTED_VALUE"""),"166
96")</f>
        <v>166
96</v>
      </c>
      <c r="E46" s="30" t="str">
        <f>IFERROR(__xludf.DUMMYFUNCTION("""COMPUTED_VALUE"""),"181
98")</f>
        <v>181
98</v>
      </c>
      <c r="F46" s="30" t="str">
        <f>IFERROR(__xludf.DUMMYFUNCTION("""COMPUTED_VALUE"""),"196
100")</f>
        <v>196
100</v>
      </c>
      <c r="G46" s="30" t="str">
        <f>IFERROR(__xludf.DUMMYFUNCTION("""COMPUTED_VALUE"""),"Chance to remove enemy buffs (3%)
Will deal lightning damage when attacking
Cures an ally of negative status")</f>
        <v>Chance to remove enemy buffs (3%)
Will deal lightning damage when attacking
Cures an ally of negative status</v>
      </c>
      <c r="H46" s="42" t="str">
        <f>IFERROR(__xludf.DUMMYFUNCTION("""COMPUTED_VALUE"""),"Recipe: Supreme Secrets of the Sword of Light")</f>
        <v>Recipe: Supreme Secrets of the Sword of Light</v>
      </c>
      <c r="I46" s="42" t="str">
        <f>IFERROR(__xludf.DUMMYFUNCTION("""COMPUTED_VALUE"""),"Sword of Light: 1
Sword of Kings: 1
Crimsonite: 2
Uber Agate of Evolution: 2
Spectralite: 2")</f>
        <v>Sword of Light: 1
Sword of Kings: 1
Crimsonite: 2
Uber Agate of Evolution: 2
Spectralite: 2</v>
      </c>
    </row>
    <row r="47">
      <c r="A47" s="40" t="str">
        <f>IFERROR(__xludf.DUMMYFUNCTION("""COMPUTED_VALUE"""),"Greatsword")</f>
        <v>Greatsword</v>
      </c>
      <c r="B47" s="24"/>
      <c r="C47" s="24"/>
      <c r="D47" s="24"/>
      <c r="E47" s="24"/>
      <c r="F47" s="24"/>
      <c r="G47" s="24"/>
      <c r="H47" s="24"/>
      <c r="I47" s="25"/>
    </row>
    <row r="48">
      <c r="A48" s="42" t="str">
        <f>IFERROR(__xludf.DUMMYFUNCTION("""COMPUTED_VALUE"""),"Cobblestone Greatsword")</f>
        <v>Cobblestone Greatsword</v>
      </c>
      <c r="B48" s="30" t="str">
        <f>IFERROR(__xludf.DUMMYFUNCTION("""COMPUTED_VALUE"""),"Attack
Parry %")</f>
        <v>Attack
Parry %</v>
      </c>
      <c r="C48" s="30" t="str">
        <f>IFERROR(__xludf.DUMMYFUNCTION("""COMPUTED_VALUE"""),"12
1")</f>
        <v>12
1</v>
      </c>
      <c r="D48" s="30" t="str">
        <f>IFERROR(__xludf.DUMMYFUNCTION("""COMPUTED_VALUE"""),"14
1")</f>
        <v>14
1</v>
      </c>
      <c r="E48" s="30" t="str">
        <f>IFERROR(__xludf.DUMMYFUNCTION("""COMPUTED_VALUE"""),"18
1")</f>
        <v>18
1</v>
      </c>
      <c r="F48" s="30" t="str">
        <f>IFERROR(__xludf.DUMMYFUNCTION("""COMPUTED_VALUE"""),"25
2")</f>
        <v>25
2</v>
      </c>
      <c r="G48" s="30" t="str">
        <f>IFERROR(__xludf.DUMMYFUNCTION("""COMPUTED_VALUE"""),"--")</f>
        <v>--</v>
      </c>
      <c r="H48" s="42" t="str">
        <f>IFERROR(__xludf.DUMMYFUNCTION("""COMPUTED_VALUE"""),"Story")</f>
        <v>Story</v>
      </c>
      <c r="I48" s="30"/>
    </row>
    <row r="49">
      <c r="A49" s="41" t="str">
        <f>IFERROR(__xludf.DUMMYFUNCTION("""COMPUTED_VALUE"""),"Copper Chopper")</f>
        <v>Copper Chopper</v>
      </c>
      <c r="B49" s="31" t="str">
        <f>IFERROR(__xludf.DUMMYFUNCTION("""COMPUTED_VALUE"""),"Attack
Parry %")</f>
        <v>Attack
Parry %</v>
      </c>
      <c r="C49" s="31" t="str">
        <f>IFERROR(__xludf.DUMMYFUNCTION("""COMPUTED_VALUE"""),"15
1")</f>
        <v>15
1</v>
      </c>
      <c r="D49" s="31" t="str">
        <f>IFERROR(__xludf.DUMMYFUNCTION("""COMPUTED_VALUE"""),"17
1")</f>
        <v>17
1</v>
      </c>
      <c r="E49" s="31" t="str">
        <f>IFERROR(__xludf.DUMMYFUNCTION("""COMPUTED_VALUE"""),"20
1")</f>
        <v>20
1</v>
      </c>
      <c r="F49" s="31" t="str">
        <f>IFERROR(__xludf.DUMMYFUNCTION("""COMPUTED_VALUE"""),"23
1")</f>
        <v>23
1</v>
      </c>
      <c r="G49" s="31" t="str">
        <f>IFERROR(__xludf.DUMMYFUNCTION("""COMPUTED_VALUE"""),"--")</f>
        <v>--</v>
      </c>
      <c r="H49" s="41" t="str">
        <f>IFERROR(__xludf.DUMMYFUNCTION("""COMPUTED_VALUE"""),"Heliodor, Downtown, Manglerove: 300")</f>
        <v>Heliodor, Downtown, Manglerove: 300</v>
      </c>
      <c r="I49" s="31"/>
    </row>
    <row r="50">
      <c r="A50" s="42" t="str">
        <f>IFERROR(__xludf.DUMMYFUNCTION("""COMPUTED_VALUE"""),"Broad Sword")</f>
        <v>Broad Sword</v>
      </c>
      <c r="B50" s="30" t="str">
        <f>IFERROR(__xludf.DUMMYFUNCTION("""COMPUTED_VALUE"""),"Attack
Parry %
Critical %")</f>
        <v>Attack
Parry %
Critical %</v>
      </c>
      <c r="C50" s="30" t="str">
        <f>IFERROR(__xludf.DUMMYFUNCTION("""COMPUTED_VALUE"""),"20
1
1")</f>
        <v>20
1
1</v>
      </c>
      <c r="D50" s="30" t="str">
        <f>IFERROR(__xludf.DUMMYFUNCTION("""COMPUTED_VALUE"""),"22
1
1")</f>
        <v>22
1
1</v>
      </c>
      <c r="E50" s="30" t="str">
        <f>IFERROR(__xludf.DUMMYFUNCTION("""COMPUTED_VALUE"""),"25
1
1")</f>
        <v>25
1
1</v>
      </c>
      <c r="F50" s="30" t="str">
        <f>IFERROR(__xludf.DUMMYFUNCTION("""COMPUTED_VALUE"""),"28
1
1")</f>
        <v>28
1
1</v>
      </c>
      <c r="G50" s="30" t="str">
        <f>IFERROR(__xludf.DUMMYFUNCTION("""COMPUTED_VALUE"""),"--")</f>
        <v>--</v>
      </c>
      <c r="H50" s="42" t="str">
        <f>IFERROR(__xludf.DUMMYFUNCTION("""COMPUTED_VALUE"""),"Emerald Coast: 600")</f>
        <v>Emerald Coast: 600</v>
      </c>
      <c r="I50" s="30"/>
    </row>
    <row r="51">
      <c r="A51" s="41" t="str">
        <f>IFERROR(__xludf.DUMMYFUNCTION("""COMPUTED_VALUE"""),"Cast-Iron Claymore")</f>
        <v>Cast-Iron Claymore</v>
      </c>
      <c r="B51" s="31" t="str">
        <f>IFERROR(__xludf.DUMMYFUNCTION("""COMPUTED_VALUE"""),"Attack
Parry %")</f>
        <v>Attack
Parry %</v>
      </c>
      <c r="C51" s="31" t="str">
        <f>IFERROR(__xludf.DUMMYFUNCTION("""COMPUTED_VALUE"""),"28
1")</f>
        <v>28
1</v>
      </c>
      <c r="D51" s="31" t="str">
        <f>IFERROR(__xludf.DUMMYFUNCTION("""COMPUTED_VALUE"""),"31
1")</f>
        <v>31
1</v>
      </c>
      <c r="E51" s="31" t="str">
        <f>IFERROR(__xludf.DUMMYFUNCTION("""COMPUTED_VALUE"""),"34
1")</f>
        <v>34
1</v>
      </c>
      <c r="F51" s="31" t="str">
        <f>IFERROR(__xludf.DUMMYFUNCTION("""COMPUTED_VALUE"""),"39
1")</f>
        <v>39
1</v>
      </c>
      <c r="G51" s="31" t="str">
        <f>IFERROR(__xludf.DUMMYFUNCTION("""COMPUTED_VALUE"""),"--")</f>
        <v>--</v>
      </c>
      <c r="H51" s="41" t="str">
        <f>IFERROR(__xludf.DUMMYFUNCTION("""COMPUTED_VALUE"""),"Hotto, Gallopolis, Laguna di Gondolia: 780
Recipe: I &lt;3 Iron Arms")</f>
        <v>Hotto, Gallopolis, Laguna di Gondolia: 780
Recipe: I &lt;3 Iron Arms</v>
      </c>
      <c r="I51" s="41" t="str">
        <f>IFERROR(__xludf.DUMMYFUNCTION("""COMPUTED_VALUE"""),"Iron Ore: 3
Copper Ore: 1")</f>
        <v>Iron Ore: 3
Copper Ore: 1</v>
      </c>
    </row>
    <row r="52">
      <c r="A52" s="42" t="str">
        <f>IFERROR(__xludf.DUMMYFUNCTION("""COMPUTED_VALUE"""),"Broader Sword")</f>
        <v>Broader Sword</v>
      </c>
      <c r="B52" s="30" t="str">
        <f>IFERROR(__xludf.DUMMYFUNCTION("""COMPUTED_VALUE"""),"Attack
Parry %
Critical %")</f>
        <v>Attack
Parry %
Critical %</v>
      </c>
      <c r="C52" s="30" t="str">
        <f>IFERROR(__xludf.DUMMYFUNCTION("""COMPUTED_VALUE"""),"43
1
1")</f>
        <v>43
1
1</v>
      </c>
      <c r="D52" s="30" t="str">
        <f>IFERROR(__xludf.DUMMYFUNCTION("""COMPUTED_VALUE"""),"46
1
1")</f>
        <v>46
1
1</v>
      </c>
      <c r="E52" s="30" t="str">
        <f>IFERROR(__xludf.DUMMYFUNCTION("""COMPUTED_VALUE"""),"49
2
1")</f>
        <v>49
2
1</v>
      </c>
      <c r="F52" s="30" t="str">
        <f>IFERROR(__xludf.DUMMYFUNCTION("""COMPUTED_VALUE"""),"54
2
1")</f>
        <v>54
2
1</v>
      </c>
      <c r="G52" s="30" t="str">
        <f>IFERROR(__xludf.DUMMYFUNCTION("""COMPUTED_VALUE"""),"--")</f>
        <v>--</v>
      </c>
      <c r="H52" s="42" t="str">
        <f>IFERROR(__xludf.DUMMYFUNCTION("""COMPUTED_VALUE"""),"Gondolia: 1800
Recipe: Cutting-Edge Kit")</f>
        <v>Gondolia: 1800
Recipe: Cutting-Edge Kit</v>
      </c>
      <c r="I52" s="42" t="str">
        <f>IFERROR(__xludf.DUMMYFUNCTION("""COMPUTED_VALUE"""),"Iron Ore: 3
Pitch Pearl: 1")</f>
        <v>Iron Ore: 3
Pitch Pearl: 1</v>
      </c>
    </row>
    <row r="53">
      <c r="A53" s="41" t="str">
        <f>IFERROR(__xludf.DUMMYFUNCTION("""COMPUTED_VALUE"""),"Black Blade")</f>
        <v>Black Blade</v>
      </c>
      <c r="B53" s="31" t="str">
        <f>IFERROR(__xludf.DUMMYFUNCTION("""COMPUTED_VALUE"""),"Attack
Parry %")</f>
        <v>Attack
Parry %</v>
      </c>
      <c r="C53" s="31" t="str">
        <f>IFERROR(__xludf.DUMMYFUNCTION("""COMPUTED_VALUE"""),"49
2")</f>
        <v>49
2</v>
      </c>
      <c r="D53" s="31" t="str">
        <f>IFERROR(__xludf.DUMMYFUNCTION("""COMPUTED_VALUE"""),"51
2")</f>
        <v>51
2</v>
      </c>
      <c r="E53" s="31" t="str">
        <f>IFERROR(__xludf.DUMMYFUNCTION("""COMPUTED_VALUE"""),"54
2")</f>
        <v>54
2</v>
      </c>
      <c r="F53" s="31" t="str">
        <f>IFERROR(__xludf.DUMMYFUNCTION("""COMPUTED_VALUE"""),"59
2")</f>
        <v>59
2</v>
      </c>
      <c r="G53" s="31" t="str">
        <f>IFERROR(__xludf.DUMMYFUNCTION("""COMPUTED_VALUE"""),"--")</f>
        <v>--</v>
      </c>
      <c r="H53" s="41" t="str">
        <f>IFERROR(__xludf.DUMMYFUNCTION("""COMPUTED_VALUE"""),"Octagonia, Puerto Valor: 2900")</f>
        <v>Octagonia, Puerto Valor: 2900</v>
      </c>
      <c r="I53" s="31"/>
    </row>
    <row r="54">
      <c r="A54" s="42" t="str">
        <f>IFERROR(__xludf.DUMMYFUNCTION("""COMPUTED_VALUE"""),"Carbon Steel Claymore")</f>
        <v>Carbon Steel Claymore</v>
      </c>
      <c r="B54" s="30" t="str">
        <f>IFERROR(__xludf.DUMMYFUNCTION("""COMPUTED_VALUE"""),"Attack
Parry %")</f>
        <v>Attack
Parry %</v>
      </c>
      <c r="C54" s="30" t="str">
        <f>IFERROR(__xludf.DUMMYFUNCTION("""COMPUTED_VALUE"""),"78
2")</f>
        <v>78
2</v>
      </c>
      <c r="D54" s="30" t="str">
        <f>IFERROR(__xludf.DUMMYFUNCTION("""COMPUTED_VALUE"""),"83
2")</f>
        <v>83
2</v>
      </c>
      <c r="E54" s="30" t="str">
        <f>IFERROR(__xludf.DUMMYFUNCTION("""COMPUTED_VALUE"""),"88
2")</f>
        <v>88
2</v>
      </c>
      <c r="F54" s="30" t="str">
        <f>IFERROR(__xludf.DUMMYFUNCTION("""COMPUTED_VALUE"""),"95
2")</f>
        <v>95
2</v>
      </c>
      <c r="G54" s="30" t="str">
        <f>IFERROR(__xludf.DUMMYFUNCTION("""COMPUTED_VALUE"""),"--")</f>
        <v>--</v>
      </c>
      <c r="H54" s="42" t="str">
        <f>IFERROR(__xludf.DUMMYFUNCTION("""COMPUTED_VALUE"""),"Lonalulu, Phnom Nonh: 8000")</f>
        <v>Lonalulu, Phnom Nonh: 8000</v>
      </c>
      <c r="I54" s="30"/>
    </row>
    <row r="55">
      <c r="A55" s="41" t="str">
        <f>IFERROR(__xludf.DUMMYFUNCTION("""COMPUTED_VALUE"""),"Banishing Blade")</f>
        <v>Banishing Blade</v>
      </c>
      <c r="B55" s="31" t="str">
        <f>IFERROR(__xludf.DUMMYFUNCTION("""COMPUTED_VALUE"""),"Attack
Parry %")</f>
        <v>Attack
Parry %</v>
      </c>
      <c r="C55" s="31" t="str">
        <f>IFERROR(__xludf.DUMMYFUNCTION("""COMPUTED_VALUE"""),"91
2")</f>
        <v>91
2</v>
      </c>
      <c r="D55" s="31" t="str">
        <f>IFERROR(__xludf.DUMMYFUNCTION("""COMPUTED_VALUE"""),"95
2")</f>
        <v>95
2</v>
      </c>
      <c r="E55" s="31" t="str">
        <f>IFERROR(__xludf.DUMMYFUNCTION("""COMPUTED_VALUE"""),"101
2")</f>
        <v>101
2</v>
      </c>
      <c r="F55" s="31" t="str">
        <f>IFERROR(__xludf.DUMMYFUNCTION("""COMPUTED_VALUE"""),"108
2")</f>
        <v>108
2</v>
      </c>
      <c r="G55" s="31" t="str">
        <f>IFERROR(__xludf.DUMMYFUNCTION("""COMPUTED_VALUE"""),"Bonus damage to Demons (10%)")</f>
        <v>Bonus damage to Demons (10%)</v>
      </c>
      <c r="H55" s="41" t="str">
        <f>IFERROR(__xludf.DUMMYFUNCTION("""COMPUTED_VALUE"""),"Magic Key: Hotto Steppe")</f>
        <v>Magic Key: Hotto Steppe</v>
      </c>
      <c r="I55" s="31"/>
    </row>
    <row r="56">
      <c r="A56" s="42" t="str">
        <f>IFERROR(__xludf.DUMMYFUNCTION("""COMPUTED_VALUE"""),"Eight's Greatsword")</f>
        <v>Eight's Greatsword</v>
      </c>
      <c r="B56" s="30" t="str">
        <f>IFERROR(__xludf.DUMMYFUNCTION("""COMPUTED_VALUE"""),"Attack
Parry %")</f>
        <v>Attack
Parry %</v>
      </c>
      <c r="C56" s="30" t="str">
        <f>IFERROR(__xludf.DUMMYFUNCTION("""COMPUTED_VALUE"""),"91
2")</f>
        <v>91
2</v>
      </c>
      <c r="D56" s="30" t="str">
        <f>IFERROR(__xludf.DUMMYFUNCTION("""COMPUTED_VALUE"""),"95
2")</f>
        <v>95
2</v>
      </c>
      <c r="E56" s="30" t="str">
        <f>IFERROR(__xludf.DUMMYFUNCTION("""COMPUTED_VALUE"""),"101
2")</f>
        <v>101
2</v>
      </c>
      <c r="F56" s="30" t="str">
        <f>IFERROR(__xludf.DUMMYFUNCTION("""COMPUTED_VALUE"""),"108
2")</f>
        <v>108
2</v>
      </c>
      <c r="G56" s="30" t="str">
        <f>IFERROR(__xludf.DUMMYFUNCTION("""COMPUTED_VALUE"""),"--")</f>
        <v>--</v>
      </c>
      <c r="H56" s="42" t="str">
        <f>IFERROR(__xludf.DUMMYFUNCTION("""COMPUTED_VALUE"""),"Story")</f>
        <v>Story</v>
      </c>
      <c r="I56" s="30"/>
    </row>
    <row r="57">
      <c r="A57" s="41" t="str">
        <f>IFERROR(__xludf.DUMMYFUNCTION("""COMPUTED_VALUE"""),"Razer-Wing")</f>
        <v>Razer-Wing</v>
      </c>
      <c r="B57" s="31" t="str">
        <f>IFERROR(__xludf.DUMMYFUNCTION("""COMPUTED_VALUE"""),"Attack
Parry %")</f>
        <v>Attack
Parry %</v>
      </c>
      <c r="C57" s="31" t="str">
        <f>IFERROR(__xludf.DUMMYFUNCTION("""COMPUTED_VALUE"""),"93
2")</f>
        <v>93
2</v>
      </c>
      <c r="D57" s="31" t="str">
        <f>IFERROR(__xludf.DUMMYFUNCTION("""COMPUTED_VALUE"""),"99
2")</f>
        <v>99
2</v>
      </c>
      <c r="E57" s="31" t="str">
        <f>IFERROR(__xludf.DUMMYFUNCTION("""COMPUTED_VALUE"""),"105
2")</f>
        <v>105
2</v>
      </c>
      <c r="F57" s="31" t="str">
        <f>IFERROR(__xludf.DUMMYFUNCTION("""COMPUTED_VALUE"""),"112
2")</f>
        <v>112
2</v>
      </c>
      <c r="G57" s="31" t="str">
        <f>IFERROR(__xludf.DUMMYFUNCTION("""COMPUTED_VALUE"""),"12% chance to paraylze enemy")</f>
        <v>12% chance to paraylze enemy</v>
      </c>
      <c r="H57" s="41" t="str">
        <f>IFERROR(__xludf.DUMMYFUNCTION("""COMPUTED_VALUE"""),"Heliodor Region, Sniflheim: 9300")</f>
        <v>Heliodor Region, Sniflheim: 9300</v>
      </c>
      <c r="I57" s="31"/>
    </row>
    <row r="58">
      <c r="A58" s="42" t="str">
        <f>IFERROR(__xludf.DUMMYFUNCTION("""COMPUTED_VALUE"""),"Platinum Powersword")</f>
        <v>Platinum Powersword</v>
      </c>
      <c r="B58" s="30" t="str">
        <f>IFERROR(__xludf.DUMMYFUNCTION("""COMPUTED_VALUE"""),"Attack
Parry %
Charm")</f>
        <v>Attack
Parry %
Charm</v>
      </c>
      <c r="C58" s="30" t="str">
        <f>IFERROR(__xludf.DUMMYFUNCTION("""COMPUTED_VALUE"""),"108
2
31")</f>
        <v>108
2
31</v>
      </c>
      <c r="D58" s="30" t="str">
        <f>IFERROR(__xludf.DUMMYFUNCTION("""COMPUTED_VALUE"""),"114
2
33")</f>
        <v>114
2
33</v>
      </c>
      <c r="E58" s="30" t="str">
        <f>IFERROR(__xludf.DUMMYFUNCTION("""COMPUTED_VALUE"""),"121
2
36")</f>
        <v>121
2
36</v>
      </c>
      <c r="F58" s="30" t="str">
        <f>IFERROR(__xludf.DUMMYFUNCTION("""COMPUTED_VALUE"""),"128
2
40")</f>
        <v>128
2
40</v>
      </c>
      <c r="G58" s="30" t="str">
        <f>IFERROR(__xludf.DUMMYFUNCTION("""COMPUTED_VALUE"""),"--")</f>
        <v>--</v>
      </c>
      <c r="H58" s="42" t="str">
        <f>IFERROR(__xludf.DUMMYFUNCTION("""COMPUTED_VALUE"""),"Puerto Valor Casino: 100000
Recipe: Platinum Power")</f>
        <v>Puerto Valor Casino: 100000
Recipe: Platinum Power</v>
      </c>
      <c r="I58" s="42" t="str">
        <f>IFERROR(__xludf.DUMMYFUNCTION("""COMPUTED_VALUE"""),"Platinum Ore: 3
Gold Ore: 2
Mirrorstone: 2")</f>
        <v>Platinum Ore: 3
Gold Ore: 2
Mirrorstone: 2</v>
      </c>
    </row>
    <row r="59">
      <c r="A59" s="41" t="str">
        <f>IFERROR(__xludf.DUMMYFUNCTION("""COMPUTED_VALUE"""),"Nightcleaver")</f>
        <v>Nightcleaver</v>
      </c>
      <c r="B59" s="31" t="str">
        <f>IFERROR(__xludf.DUMMYFUNCTION("""COMPUTED_VALUE"""),"Attack
Parry %")</f>
        <v>Attack
Parry %</v>
      </c>
      <c r="C59" s="31" t="str">
        <f>IFERROR(__xludf.DUMMYFUNCTION("""COMPUTED_VALUE"""),"115
2")</f>
        <v>115
2</v>
      </c>
      <c r="D59" s="31" t="str">
        <f>IFERROR(__xludf.DUMMYFUNCTION("""COMPUTED_VALUE"""),"121
2")</f>
        <v>121
2</v>
      </c>
      <c r="E59" s="31" t="str">
        <f>IFERROR(__xludf.DUMMYFUNCTION("""COMPUTED_VALUE"""),"127
2")</f>
        <v>127
2</v>
      </c>
      <c r="F59" s="31" t="str">
        <f>IFERROR(__xludf.DUMMYFUNCTION("""COMPUTED_VALUE"""),"134
2")</f>
        <v>134
2</v>
      </c>
      <c r="G59" s="31" t="str">
        <f>IFERROR(__xludf.DUMMYFUNCTION("""COMPUTED_VALUE"""),"Will deal light damage when attacking")</f>
        <v>Will deal light damage when attacking</v>
      </c>
      <c r="H59" s="43" t="str">
        <f>IFERROR(__xludf.DUMMYFUNCTION("""COMPUTED_VALUE"""),"Heliodor Region, Costa Valor, Champs Sauvage: 12000")</f>
        <v>Heliodor Region, Costa Valor, Champs Sauvage: 12000</v>
      </c>
      <c r="I59" s="31"/>
    </row>
    <row r="60">
      <c r="A60" s="42" t="str">
        <f>IFERROR(__xludf.DUMMYFUNCTION("""COMPUTED_VALUE"""),"Demonsbane")</f>
        <v>Demonsbane</v>
      </c>
      <c r="B60" s="30" t="str">
        <f>IFERROR(__xludf.DUMMYFUNCTION("""COMPUTED_VALUE"""),"Attack
Parry %")</f>
        <v>Attack
Parry %</v>
      </c>
      <c r="C60" s="30" t="str">
        <f>IFERROR(__xludf.DUMMYFUNCTION("""COMPUTED_VALUE"""),"124
2")</f>
        <v>124
2</v>
      </c>
      <c r="D60" s="30" t="str">
        <f>IFERROR(__xludf.DUMMYFUNCTION("""COMPUTED_VALUE"""),"130
2")</f>
        <v>130
2</v>
      </c>
      <c r="E60" s="30" t="str">
        <f>IFERROR(__xludf.DUMMYFUNCTION("""COMPUTED_VALUE"""),"137
2")</f>
        <v>137
2</v>
      </c>
      <c r="F60" s="30" t="str">
        <f>IFERROR(__xludf.DUMMYFUNCTION("""COMPUTED_VALUE"""),"144
2")</f>
        <v>144
2</v>
      </c>
      <c r="G60" s="30" t="str">
        <f>IFERROR(__xludf.DUMMYFUNCTION("""COMPUTED_VALUE"""),"Bonus damage to Demons (20%)")</f>
        <v>Bonus damage to Demons (20%)</v>
      </c>
      <c r="H60" s="42" t="str">
        <f>IFERROR(__xludf.DUMMYFUNCTION("""COMPUTED_VALUE"""),"Recipe: The Devil's in the Details")</f>
        <v>Recipe: The Devil's in the Details</v>
      </c>
      <c r="I60" s="42" t="str">
        <f>IFERROR(__xludf.DUMMYFUNCTION("""COMPUTED_VALUE"""),"Platinum Ore: 3
Saint's Ashes: 2")</f>
        <v>Platinum Ore: 3
Saint's Ashes: 2</v>
      </c>
    </row>
    <row r="61">
      <c r="A61" s="41" t="str">
        <f>IFERROR(__xludf.DUMMYFUNCTION("""COMPUTED_VALUE"""),"Wyrmfang")</f>
        <v>Wyrmfang</v>
      </c>
      <c r="B61" s="31" t="str">
        <f>IFERROR(__xludf.DUMMYFUNCTION("""COMPUTED_VALUE"""),"Attack
Parry %")</f>
        <v>Attack
Parry %</v>
      </c>
      <c r="C61" s="31" t="str">
        <f>IFERROR(__xludf.DUMMYFUNCTION("""COMPUTED_VALUE"""),"131
2")</f>
        <v>131
2</v>
      </c>
      <c r="D61" s="31" t="str">
        <f>IFERROR(__xludf.DUMMYFUNCTION("""COMPUTED_VALUE"""),"137
2")</f>
        <v>137
2</v>
      </c>
      <c r="E61" s="31" t="str">
        <f>IFERROR(__xludf.DUMMYFUNCTION("""COMPUTED_VALUE"""),"144
2")</f>
        <v>144
2</v>
      </c>
      <c r="F61" s="31" t="str">
        <f>IFERROR(__xludf.DUMMYFUNCTION("""COMPUTED_VALUE"""),"151
2")</f>
        <v>151
2</v>
      </c>
      <c r="G61" s="31" t="str">
        <f>IFERROR(__xludf.DUMMYFUNCTION("""COMPUTED_VALUE"""),"Bonus damage to Dragons (20%)")</f>
        <v>Bonus damage to Dragons (20%)</v>
      </c>
      <c r="H61" s="41" t="str">
        <f>IFERROR(__xludf.DUMMYFUNCTION("""COMPUTED_VALUE"""),"Recipe: More Dragony Designs")</f>
        <v>Recipe: More Dragony Designs</v>
      </c>
      <c r="I61" s="41" t="str">
        <f>IFERROR(__xludf.DUMMYFUNCTION("""COMPUTED_VALUE"""),"Mythril Ore: 3
Dragon Hide: 2
Dragon Horn: 2")</f>
        <v>Mythril Ore: 3
Dragon Hide: 2
Dragon Horn: 2</v>
      </c>
    </row>
    <row r="62">
      <c r="A62" s="42" t="str">
        <f>IFERROR(__xludf.DUMMYFUNCTION("""COMPUTED_VALUE"""),"Brimstone Blade")</f>
        <v>Brimstone Blade</v>
      </c>
      <c r="B62" s="30" t="str">
        <f>IFERROR(__xludf.DUMMYFUNCTION("""COMPUTED_VALUE"""),"Attack
Parry %")</f>
        <v>Attack
Parry %</v>
      </c>
      <c r="C62" s="30" t="str">
        <f>IFERROR(__xludf.DUMMYFUNCTION("""COMPUTED_VALUE"""),"145
2")</f>
        <v>145
2</v>
      </c>
      <c r="D62" s="30" t="str">
        <f>IFERROR(__xludf.DUMMYFUNCTION("""COMPUTED_VALUE"""),"151
2")</f>
        <v>151
2</v>
      </c>
      <c r="E62" s="30" t="str">
        <f>IFERROR(__xludf.DUMMYFUNCTION("""COMPUTED_VALUE"""),"157
2")</f>
        <v>157
2</v>
      </c>
      <c r="F62" s="30" t="str">
        <f>IFERROR(__xludf.DUMMYFUNCTION("""COMPUTED_VALUE"""),"164
2")</f>
        <v>164
2</v>
      </c>
      <c r="G62" s="30" t="str">
        <f>IFERROR(__xludf.DUMMYFUNCTION("""COMPUTED_VALUE"""),"Will deal fire damage when attacking")</f>
        <v>Will deal fire damage when attacking</v>
      </c>
      <c r="H62" s="42" t="str">
        <f>IFERROR(__xludf.DUMMYFUNCTION("""COMPUTED_VALUE"""),"Hotto: 19000")</f>
        <v>Hotto: 19000</v>
      </c>
      <c r="I62" s="30"/>
    </row>
    <row r="63">
      <c r="A63" s="41" t="str">
        <f>IFERROR(__xludf.DUMMYFUNCTION("""COMPUTED_VALUE"""),"Lord's Sword")</f>
        <v>Lord's Sword</v>
      </c>
      <c r="B63" s="31" t="str">
        <f>IFERROR(__xludf.DUMMYFUNCTION("""COMPUTED_VALUE"""),"Attack
Parry %
Critical %")</f>
        <v>Attack
Parry %
Critical %</v>
      </c>
      <c r="C63" s="31" t="str">
        <f>IFERROR(__xludf.DUMMYFUNCTION("""COMPUTED_VALUE"""),"144
2
2")</f>
        <v>144
2
2</v>
      </c>
      <c r="D63" s="31" t="str">
        <f>IFERROR(__xludf.DUMMYFUNCTION("""COMPUTED_VALUE"""),"150
2
2")</f>
        <v>150
2
2</v>
      </c>
      <c r="E63" s="31" t="str">
        <f>IFERROR(__xludf.DUMMYFUNCTION("""COMPUTED_VALUE"""),"156
2
3")</f>
        <v>156
2
3</v>
      </c>
      <c r="F63" s="31" t="str">
        <f>IFERROR(__xludf.DUMMYFUNCTION("""COMPUTED_VALUE"""),"163
2
3")</f>
        <v>163
2
3</v>
      </c>
      <c r="G63" s="31" t="str">
        <f>IFERROR(__xludf.DUMMYFUNCTION("""COMPUTED_VALUE"""),"--")</f>
        <v>--</v>
      </c>
      <c r="H63" s="41" t="str">
        <f>IFERROR(__xludf.DUMMYFUNCTION("""COMPUTED_VALUE"""),"Heliodor, Gallopolis, Gondolia: 22000")</f>
        <v>Heliodor, Gallopolis, Gondolia: 22000</v>
      </c>
      <c r="I63" s="31"/>
    </row>
    <row r="64">
      <c r="A64" s="42" t="str">
        <f>IFERROR(__xludf.DUMMYFUNCTION("""COMPUTED_VALUE"""),"Metal Gooreatsword")</f>
        <v>Metal Gooreatsword</v>
      </c>
      <c r="B64" s="30" t="str">
        <f>IFERROR(__xludf.DUMMYFUNCTION("""COMPUTED_VALUE"""),"Attack
Parry %")</f>
        <v>Attack
Parry %</v>
      </c>
      <c r="C64" s="30" t="str">
        <f>IFERROR(__xludf.DUMMYFUNCTION("""COMPUTED_VALUE"""),"151
2")</f>
        <v>151
2</v>
      </c>
      <c r="D64" s="30" t="str">
        <f>IFERROR(__xludf.DUMMYFUNCTION("""COMPUTED_VALUE"""),"157
2")</f>
        <v>157
2</v>
      </c>
      <c r="E64" s="30" t="str">
        <f>IFERROR(__xludf.DUMMYFUNCTION("""COMPUTED_VALUE"""),"163
2")</f>
        <v>163
2</v>
      </c>
      <c r="F64" s="30" t="str">
        <f>IFERROR(__xludf.DUMMYFUNCTION("""COMPUTED_VALUE"""),"170
2")</f>
        <v>170
2</v>
      </c>
      <c r="G64" s="30" t="str">
        <f>IFERROR(__xludf.DUMMYFUNCTION("""COMPUTED_VALUE"""),"+1 damage to Metals")</f>
        <v>+1 damage to Metals</v>
      </c>
      <c r="H64" s="42" t="str">
        <f>IFERROR(__xludf.DUMMYFUNCTION("""COMPUTED_VALUE"""),"Recipe: Things to Do with Metal Goo")</f>
        <v>Recipe: Things to Do with Metal Goo</v>
      </c>
      <c r="I64" s="42" t="str">
        <f>IFERROR(__xludf.DUMMYFUNCTION("""COMPUTED_VALUE"""),"Molten Globules: 1
Slimedrop: 1
Maiden's Favour: 2
Densinium: 1")</f>
        <v>Molten Globules: 1
Slimedrop: 1
Maiden's Favour: 2
Densinium: 1</v>
      </c>
    </row>
    <row r="65">
      <c r="A65" s="44" t="str">
        <f>IFERROR(__xludf.DUMMYFUNCTION("""COMPUTED_VALUE"""),"Liquid Metal Gooreatsword")</f>
        <v>Liquid Metal Gooreatsword</v>
      </c>
      <c r="B65" s="31" t="str">
        <f>IFERROR(__xludf.DUMMYFUNCTION("""COMPUTED_VALUE"""),"Attack
Parry %")</f>
        <v>Attack
Parry %</v>
      </c>
      <c r="C65" s="31" t="str">
        <f>IFERROR(__xludf.DUMMYFUNCTION("""COMPUTED_VALUE"""),"167
2")</f>
        <v>167
2</v>
      </c>
      <c r="D65" s="31" t="str">
        <f>IFERROR(__xludf.DUMMYFUNCTION("""COMPUTED_VALUE"""),"173
2")</f>
        <v>173
2</v>
      </c>
      <c r="E65" s="31" t="str">
        <f>IFERROR(__xludf.DUMMYFUNCTION("""COMPUTED_VALUE"""),"180
2")</f>
        <v>180
2</v>
      </c>
      <c r="F65" s="31" t="str">
        <f>IFERROR(__xludf.DUMMYFUNCTION("""COMPUTED_VALUE"""),"190
3")</f>
        <v>190
3</v>
      </c>
      <c r="G65" s="31" t="str">
        <f>IFERROR(__xludf.DUMMYFUNCTION("""COMPUTED_VALUE"""),"+1 damage to Metals")</f>
        <v>+1 damage to Metals</v>
      </c>
      <c r="H65" s="41" t="str">
        <f>IFERROR(__xludf.DUMMYFUNCTION("""COMPUTED_VALUE"""),"Recipe: In Fine Fettle With Liquid Mettle")</f>
        <v>Recipe: In Fine Fettle With Liquid Mettle</v>
      </c>
      <c r="I65" s="41" t="str">
        <f>IFERROR(__xludf.DUMMYFUNCTION("""COMPUTED_VALUE"""),"Molten Globules: 1
Goobricant: 1
Densinium: 2
Lamplight: 2")</f>
        <v>Molten Globules: 1
Goobricant: 1
Densinium: 2
Lamplight: 2</v>
      </c>
    </row>
    <row r="66">
      <c r="A66" s="42" t="str">
        <f>IFERROR(__xludf.DUMMYFUNCTION("""COMPUTED_VALUE"""),"Skysteed Sword")</f>
        <v>Skysteed Sword</v>
      </c>
      <c r="B66" s="30" t="str">
        <f>IFERROR(__xludf.DUMMYFUNCTION("""COMPUTED_VALUE"""),"Attack
Parry %
Charm")</f>
        <v>Attack
Parry %
Charm</v>
      </c>
      <c r="C66" s="30" t="str">
        <f>IFERROR(__xludf.DUMMYFUNCTION("""COMPUTED_VALUE"""),"199
3
63")</f>
        <v>199
3
63</v>
      </c>
      <c r="D66" s="30" t="str">
        <f>IFERROR(__xludf.DUMMYFUNCTION("""COMPUTED_VALUE"""),"211
3
66")</f>
        <v>211
3
66</v>
      </c>
      <c r="E66" s="30" t="str">
        <f>IFERROR(__xludf.DUMMYFUNCTION("""COMPUTED_VALUE"""),"224
4
69")</f>
        <v>224
4
69</v>
      </c>
      <c r="F66" s="30" t="str">
        <f>IFERROR(__xludf.DUMMYFUNCTION("""COMPUTED_VALUE"""),"238
5
72")</f>
        <v>238
5
72</v>
      </c>
      <c r="G66" s="30" t="str">
        <f>IFERROR(__xludf.DUMMYFUNCTION("""COMPUTED_VALUE"""),"Chance to remove enemy buffs (5/6/8/10%)")</f>
        <v>Chance to remove enemy buffs (5/6/8/10%)</v>
      </c>
      <c r="H66" s="42" t="str">
        <f>IFERROR(__xludf.DUMMYFUNCTION("""COMPUTED_VALUE"""),"Horse Racing: Platinum Cup (Difficult)
Rare: Malicious Tantamount")</f>
        <v>Horse Racing: Platinum Cup (Difficult)
Rare: Malicious Tantamount</v>
      </c>
      <c r="I66" s="30"/>
    </row>
    <row r="67">
      <c r="A67" s="41" t="str">
        <f>IFERROR(__xludf.DUMMYFUNCTION("""COMPUTED_VALUE"""),"Legate's Blade")</f>
        <v>Legate's Blade</v>
      </c>
      <c r="B67" s="31" t="str">
        <f>IFERROR(__xludf.DUMMYFUNCTION("""COMPUTED_VALUE"""),"Attack
Parry %
Critical %")</f>
        <v>Attack
Parry %
Critical %</v>
      </c>
      <c r="C67" s="31" t="str">
        <f>IFERROR(__xludf.DUMMYFUNCTION("""COMPUTED_VALUE"""),"243
3
5")</f>
        <v>243
3
5</v>
      </c>
      <c r="D67" s="31" t="str">
        <f>IFERROR(__xludf.DUMMYFUNCTION("""COMPUTED_VALUE"""),"255
3
6")</f>
        <v>255
3
6</v>
      </c>
      <c r="E67" s="31" t="str">
        <f>IFERROR(__xludf.DUMMYFUNCTION("""COMPUTED_VALUE"""),"268
3
7")</f>
        <v>268
3
7</v>
      </c>
      <c r="F67" s="31" t="str">
        <f>IFERROR(__xludf.DUMMYFUNCTION("""COMPUTED_VALUE"""),"281
3
8")</f>
        <v>281
3
8</v>
      </c>
      <c r="G67" s="31" t="str">
        <f>IFERROR(__xludf.DUMMYFUNCTION("""COMPUTED_VALUE"""),"--")</f>
        <v>--</v>
      </c>
      <c r="H67" s="41" t="str">
        <f>IFERROR(__xludf.DUMMYFUNCTION("""COMPUTED_VALUE"""),"Recipe: Orichalcum: Ore Blimey")</f>
        <v>Recipe: Orichalcum: Ore Blimey</v>
      </c>
      <c r="I67" s="41" t="str">
        <f>IFERROR(__xludf.DUMMYFUNCTION("""COMPUTED_VALUE"""),"Densinium: 2
Orichalcum: 1
Goobricant: 3
Black Tear: 1")</f>
        <v>Densinium: 2
Orichalcum: 1
Goobricant: 3
Black Tear: 1</v>
      </c>
    </row>
    <row r="68">
      <c r="A68" s="42" t="str">
        <f>IFERROR(__xludf.DUMMYFUNCTION("""COMPUTED_VALUE"""),"Berserker's Blade")</f>
        <v>Berserker's Blade</v>
      </c>
      <c r="B68" s="30" t="str">
        <f>IFERROR(__xludf.DUMMYFUNCTION("""COMPUTED_VALUE"""),"Attack
Parry %")</f>
        <v>Attack
Parry %</v>
      </c>
      <c r="C68" s="30" t="str">
        <f>IFERROR(__xludf.DUMMYFUNCTION("""COMPUTED_VALUE"""),"277
3")</f>
        <v>277
3</v>
      </c>
      <c r="D68" s="30" t="str">
        <f>IFERROR(__xludf.DUMMYFUNCTION("""COMPUTED_VALUE"""),"289
3")</f>
        <v>289
3</v>
      </c>
      <c r="E68" s="30" t="str">
        <f>IFERROR(__xludf.DUMMYFUNCTION("""COMPUTED_VALUE"""),"303
3")</f>
        <v>303
3</v>
      </c>
      <c r="F68" s="30" t="str">
        <f>IFERROR(__xludf.DUMMYFUNCTION("""COMPUTED_VALUE"""),"315
3")</f>
        <v>315
3</v>
      </c>
      <c r="G68" s="30" t="str">
        <f>IFERROR(__xludf.DUMMYFUNCTION("""COMPUTED_VALUE"""),"8% chance to dazzle enemies
10% chance of Oomph when battle begins")</f>
        <v>8% chance to dazzle enemies
10% chance of Oomph when battle begins</v>
      </c>
      <c r="H68" s="42" t="str">
        <f>IFERROR(__xludf.DUMMYFUNCTION("""COMPUTED_VALUE"""),"Cobblestone: 45000
Rare: Spawny Devil")</f>
        <v>Cobblestone: 45000
Rare: Spawny Devil</v>
      </c>
      <c r="I68" s="30"/>
    </row>
    <row r="69">
      <c r="A69" s="41" t="str">
        <f>IFERROR(__xludf.DUMMYFUNCTION("""COMPUTED_VALUE"""),"Metal King Gooreatsword")</f>
        <v>Metal King Gooreatsword</v>
      </c>
      <c r="B69" s="31" t="str">
        <f>IFERROR(__xludf.DUMMYFUNCTION("""COMPUTED_VALUE"""),"Attack
Parry %")</f>
        <v>Attack
Parry %</v>
      </c>
      <c r="C69" s="31" t="str">
        <f>IFERROR(__xludf.DUMMYFUNCTION("""COMPUTED_VALUE"""),"285
2")</f>
        <v>285
2</v>
      </c>
      <c r="D69" s="31" t="str">
        <f>IFERROR(__xludf.DUMMYFUNCTION("""COMPUTED_VALUE"""),"297
3")</f>
        <v>297
3</v>
      </c>
      <c r="E69" s="31" t="str">
        <f>IFERROR(__xludf.DUMMYFUNCTION("""COMPUTED_VALUE"""),"310
3")</f>
        <v>310
3</v>
      </c>
      <c r="F69" s="31" t="str">
        <f>IFERROR(__xludf.DUMMYFUNCTION("""COMPUTED_VALUE"""),"324
3")</f>
        <v>324
3</v>
      </c>
      <c r="G69" s="31" t="str">
        <f>IFERROR(__xludf.DUMMYFUNCTION("""COMPUTED_VALUE"""),"+1 damage to Metals")</f>
        <v>+1 damage to Metals</v>
      </c>
      <c r="H69" s="41" t="str">
        <f>IFERROR(__xludf.DUMMYFUNCTION("""COMPUTED_VALUE"""),"Recipe: Making Things With Metal Kings")</f>
        <v>Recipe: Making Things With Metal Kings</v>
      </c>
      <c r="I69" s="41" t="str">
        <f>IFERROR(__xludf.DUMMYFUNCTION("""COMPUTED_VALUE"""),"Molten Globules: 1
Slime Crown: 1
Uber Agate of Evolution: 1
Dracolyte: 2")</f>
        <v>Molten Globules: 1
Slime Crown: 1
Uber Agate of Evolution: 1
Dracolyte: 2</v>
      </c>
    </row>
    <row r="70">
      <c r="A70" s="42" t="str">
        <f>IFERROR(__xludf.DUMMYFUNCTION("""COMPUTED_VALUE"""),"Brilliant Blade")</f>
        <v>Brilliant Blade</v>
      </c>
      <c r="B70" s="30" t="str">
        <f>IFERROR(__xludf.DUMMYFUNCTION("""COMPUTED_VALUE"""),"Attack
Parry %
Charm")</f>
        <v>Attack
Parry %
Charm</v>
      </c>
      <c r="C70" s="30" t="str">
        <f>IFERROR(__xludf.DUMMYFUNCTION("""COMPUTED_VALUE"""),"327
8
94")</f>
        <v>327
8
94</v>
      </c>
      <c r="D70" s="30" t="str">
        <f>IFERROR(__xludf.DUMMYFUNCTION("""COMPUTED_VALUE"""),"335
9
96")</f>
        <v>335
9
96</v>
      </c>
      <c r="E70" s="30" t="str">
        <f>IFERROR(__xludf.DUMMYFUNCTION("""COMPUTED_VALUE"""),"344
10
98")</f>
        <v>344
10
98</v>
      </c>
      <c r="F70" s="30" t="str">
        <f>IFERROR(__xludf.DUMMYFUNCTION("""COMPUTED_VALUE"""),"353
11
100")</f>
        <v>353
11
100</v>
      </c>
      <c r="G70" s="30" t="str">
        <f>IFERROR(__xludf.DUMMYFUNCTION("""COMPUTED_VALUE"""),"Will deal light damage when attacking")</f>
        <v>Will deal light damage when attacking</v>
      </c>
      <c r="H70" s="42" t="str">
        <f>IFERROR(__xludf.DUMMYFUNCTION("""COMPUTED_VALUE"""),"Wheel of Harma: Final Trial (30 Moves)")</f>
        <v>Wheel of Harma: Final Trial (30 Moves)</v>
      </c>
      <c r="I70" s="30"/>
    </row>
    <row r="71">
      <c r="A71" s="41" t="str">
        <f>IFERROR(__xludf.DUMMYFUNCTION("""COMPUTED_VALUE"""),"Sword of Shadows")</f>
        <v>Sword of Shadows</v>
      </c>
      <c r="B71" s="31" t="str">
        <f>IFERROR(__xludf.DUMMYFUNCTION("""COMPUTED_VALUE"""),"Attack
Parry %")</f>
        <v>Attack
Parry %</v>
      </c>
      <c r="C71" s="31" t="str">
        <f>IFERROR(__xludf.DUMMYFUNCTION("""COMPUTED_VALUE"""),"196
3")</f>
        <v>196
3</v>
      </c>
      <c r="D71" s="31" t="str">
        <f>IFERROR(__xludf.DUMMYFUNCTION("""COMPUTED_VALUE"""),"--")</f>
        <v>--</v>
      </c>
      <c r="E71" s="31" t="str">
        <f>IFERROR(__xludf.DUMMYFUNCTION("""COMPUTED_VALUE"""),"--")</f>
        <v>--</v>
      </c>
      <c r="F71" s="31" t="str">
        <f>IFERROR(__xludf.DUMMYFUNCTION("""COMPUTED_VALUE"""),"--")</f>
        <v>--</v>
      </c>
      <c r="G71" s="31" t="str">
        <f>IFERROR(__xludf.DUMMYFUNCTION("""COMPUTED_VALUE"""),"Dark damage to one enemy when used as item")</f>
        <v>Dark damage to one enemy when used as item</v>
      </c>
      <c r="H71" s="41" t="str">
        <f>IFERROR(__xludf.DUMMYFUNCTION("""COMPUTED_VALUE"""),"Story")</f>
        <v>Story</v>
      </c>
      <c r="I71" s="31"/>
    </row>
    <row r="72">
      <c r="A72" s="40" t="str">
        <f>IFERROR(__xludf.DUMMYFUNCTION("""COMPUTED_VALUE"""),"Knives")</f>
        <v>Knives</v>
      </c>
      <c r="B72" s="7"/>
      <c r="C72" s="7"/>
      <c r="D72" s="7"/>
      <c r="E72" s="7"/>
      <c r="F72" s="7"/>
      <c r="G72" s="7"/>
      <c r="H72" s="7"/>
      <c r="I72" s="8"/>
    </row>
    <row r="73">
      <c r="A73" s="41" t="str">
        <f>IFERROR(__xludf.DUMMYFUNCTION("""COMPUTED_VALUE"""),"Erik's Dagger")</f>
        <v>Erik's Dagger</v>
      </c>
      <c r="B73" s="31" t="str">
        <f>IFERROR(__xludf.DUMMYFUNCTION("""COMPUTED_VALUE"""),"Attack
Deftness")</f>
        <v>Attack
Deftness</v>
      </c>
      <c r="C73" s="31" t="str">
        <f>IFERROR(__xludf.DUMMYFUNCTION("""COMPUTED_VALUE"""),"10
2")</f>
        <v>10
2</v>
      </c>
      <c r="D73" s="31" t="str">
        <f>IFERROR(__xludf.DUMMYFUNCTION("""COMPUTED_VALUE"""),"12
3")</f>
        <v>12
3</v>
      </c>
      <c r="E73" s="31" t="str">
        <f>IFERROR(__xludf.DUMMYFUNCTION("""COMPUTED_VALUE"""),"16
4")</f>
        <v>16
4</v>
      </c>
      <c r="F73" s="31" t="str">
        <f>IFERROR(__xludf.DUMMYFUNCTION("""COMPUTED_VALUE"""),"23
5")</f>
        <v>23
5</v>
      </c>
      <c r="G73" s="31" t="str">
        <f>IFERROR(__xludf.DUMMYFUNCTION("""COMPUTED_VALUE"""),"--")</f>
        <v>--</v>
      </c>
      <c r="H73" s="41" t="str">
        <f>IFERROR(__xludf.DUMMYFUNCTION("""COMPUTED_VALUE"""),"Story")</f>
        <v>Story</v>
      </c>
      <c r="I73" s="31"/>
    </row>
    <row r="74">
      <c r="A74" s="42" t="str">
        <f>IFERROR(__xludf.DUMMYFUNCTION("""COMPUTED_VALUE"""),"Bronze Knife")</f>
        <v>Bronze Knife</v>
      </c>
      <c r="B74" s="30" t="str">
        <f>IFERROR(__xludf.DUMMYFUNCTION("""COMPUTED_VALUE"""),"Attack")</f>
        <v>Attack</v>
      </c>
      <c r="C74" s="30">
        <f>IFERROR(__xludf.DUMMYFUNCTION("""COMPUTED_VALUE"""),12.0)</f>
        <v>12</v>
      </c>
      <c r="D74" s="30">
        <f>IFERROR(__xludf.DUMMYFUNCTION("""COMPUTED_VALUE"""),14.0)</f>
        <v>14</v>
      </c>
      <c r="E74" s="30">
        <f>IFERROR(__xludf.DUMMYFUNCTION("""COMPUTED_VALUE"""),16.0)</f>
        <v>16</v>
      </c>
      <c r="F74" s="30">
        <f>IFERROR(__xludf.DUMMYFUNCTION("""COMPUTED_VALUE"""),18.0)</f>
        <v>18</v>
      </c>
      <c r="G74" s="30" t="str">
        <f>IFERROR(__xludf.DUMMYFUNCTION("""COMPUTED_VALUE"""),"--")</f>
        <v>--</v>
      </c>
      <c r="H74" s="42" t="str">
        <f>IFERROR(__xludf.DUMMYFUNCTION("""COMPUTED_VALUE"""),"Downtown, Manglegrove: 150")</f>
        <v>Downtown, Manglegrove: 150</v>
      </c>
      <c r="I74" s="30"/>
    </row>
    <row r="75">
      <c r="A75" s="41" t="str">
        <f>IFERROR(__xludf.DUMMYFUNCTION("""COMPUTED_VALUE"""),"Divine Dagger")</f>
        <v>Divine Dagger</v>
      </c>
      <c r="B75" s="31" t="str">
        <f>IFERROR(__xludf.DUMMYFUNCTION("""COMPUTED_VALUE"""),"Attack")</f>
        <v>Attack</v>
      </c>
      <c r="C75" s="31">
        <f>IFERROR(__xludf.DUMMYFUNCTION("""COMPUTED_VALUE"""),14.0)</f>
        <v>14</v>
      </c>
      <c r="D75" s="31">
        <f>IFERROR(__xludf.DUMMYFUNCTION("""COMPUTED_VALUE"""),16.0)</f>
        <v>16</v>
      </c>
      <c r="E75" s="31">
        <f>IFERROR(__xludf.DUMMYFUNCTION("""COMPUTED_VALUE"""),18.0)</f>
        <v>18</v>
      </c>
      <c r="F75" s="31">
        <f>IFERROR(__xludf.DUMMYFUNCTION("""COMPUTED_VALUE"""),20.0)</f>
        <v>20</v>
      </c>
      <c r="G75" s="31" t="str">
        <f>IFERROR(__xludf.DUMMYFUNCTION("""COMPUTED_VALUE"""),"Bonus damage to Undead (20%)")</f>
        <v>Bonus damage to Undead (20%)</v>
      </c>
      <c r="H75" s="9" t="str">
        <f>IFERROR(__xludf.DUMMYFUNCTION("""COMPUTED_VALUE"""),"Emerald Coast, Hotto: 200
Recipe: First Forays into Forging")</f>
        <v>Emerald Coast, Hotto: 200
Recipe: First Forays into Forging</v>
      </c>
      <c r="I75" s="41" t="str">
        <f>IFERROR(__xludf.DUMMYFUNCTION("""COMPUTED_VALUE"""),"Copper Ore: 1
Fresh Water: 1")</f>
        <v>Copper Ore: 1
Fresh Water: 1</v>
      </c>
    </row>
    <row r="76">
      <c r="A76" s="42" t="str">
        <f>IFERROR(__xludf.DUMMYFUNCTION("""COMPUTED_VALUE"""),"Poison Moth Knife")</f>
        <v>Poison Moth Knife</v>
      </c>
      <c r="B76" s="30" t="str">
        <f>IFERROR(__xludf.DUMMYFUNCTION("""COMPUTED_VALUE"""),"Attack")</f>
        <v>Attack</v>
      </c>
      <c r="C76" s="30">
        <f>IFERROR(__xludf.DUMMYFUNCTION("""COMPUTED_VALUE"""),24.0)</f>
        <v>24</v>
      </c>
      <c r="D76" s="30">
        <f>IFERROR(__xludf.DUMMYFUNCTION("""COMPUTED_VALUE"""),26.0)</f>
        <v>26</v>
      </c>
      <c r="E76" s="30">
        <f>IFERROR(__xludf.DUMMYFUNCTION("""COMPUTED_VALUE"""),28.0)</f>
        <v>28</v>
      </c>
      <c r="F76" s="30">
        <f>IFERROR(__xludf.DUMMYFUNCTION("""COMPUTED_VALUE"""),31.0)</f>
        <v>31</v>
      </c>
      <c r="G76" s="30" t="str">
        <f>IFERROR(__xludf.DUMMYFUNCTION("""COMPUTED_VALUE"""),"8% chance to paralyze enemies")</f>
        <v>8% chance to paralyze enemies</v>
      </c>
      <c r="H76" s="42" t="str">
        <f>IFERROR(__xludf.DUMMYFUNCTION("""COMPUTED_VALUE"""),"Hotto, Gallopolis, Gondolia, Octagonia: 950
Rare: Garuda, Crabber Dabber Doo, Bodkin Fletcher")</f>
        <v>Hotto, Gallopolis, Gondolia, Octagonia: 950
Rare: Garuda, Crabber Dabber Doo, Bodkin Fletcher</v>
      </c>
      <c r="I76" s="30"/>
    </row>
    <row r="77">
      <c r="A77" s="41" t="str">
        <f>IFERROR(__xludf.DUMMYFUNCTION("""COMPUTED_VALUE"""),"Batterfly Knife")</f>
        <v>Batterfly Knife</v>
      </c>
      <c r="B77" s="31" t="str">
        <f>IFERROR(__xludf.DUMMYFUNCTION("""COMPUTED_VALUE"""),"Attack")</f>
        <v>Attack</v>
      </c>
      <c r="C77" s="31">
        <f>IFERROR(__xludf.DUMMYFUNCTION("""COMPUTED_VALUE"""),29.0)</f>
        <v>29</v>
      </c>
      <c r="D77" s="31">
        <f>IFERROR(__xludf.DUMMYFUNCTION("""COMPUTED_VALUE"""),31.0)</f>
        <v>31</v>
      </c>
      <c r="E77" s="31">
        <f>IFERROR(__xludf.DUMMYFUNCTION("""COMPUTED_VALUE"""),33.0)</f>
        <v>33</v>
      </c>
      <c r="F77" s="31">
        <f>IFERROR(__xludf.DUMMYFUNCTION("""COMPUTED_VALUE"""),36.0)</f>
        <v>36</v>
      </c>
      <c r="G77" s="31" t="str">
        <f>IFERROR(__xludf.DUMMYFUNCTION("""COMPUTED_VALUE"""),"8% chance to paralyze enemies
Bonus damage to Nature (20%)")</f>
        <v>8% chance to paralyze enemies
Bonus damage to Nature (20%)</v>
      </c>
      <c r="H77" s="41" t="str">
        <f>IFERROR(__xludf.DUMMYFUNCTION("""COMPUTED_VALUE"""),"Recipe: Building Butterfly Bric-a-Brac")</f>
        <v>Recipe: Building Butterfly Bric-a-Brac</v>
      </c>
      <c r="I77" s="41" t="str">
        <f>IFERROR(__xludf.DUMMYFUNCTION("""COMPUTED_VALUE"""),"Silver Ore: 2
Coagulant: 1
Butterfly Wing: 1")</f>
        <v>Silver Ore: 2
Coagulant: 1
Butterfly Wing: 1</v>
      </c>
    </row>
    <row r="78">
      <c r="A78" s="42" t="str">
        <f>IFERROR(__xludf.DUMMYFUNCTION("""COMPUTED_VALUE"""),"Poison Needle")</f>
        <v>Poison Needle</v>
      </c>
      <c r="B78" s="30" t="str">
        <f>IFERROR(__xludf.DUMMYFUNCTION("""COMPUTED_VALUE"""),"Attack")</f>
        <v>Attack</v>
      </c>
      <c r="C78" s="30">
        <f>IFERROR(__xludf.DUMMYFUNCTION("""COMPUTED_VALUE"""),1.0)</f>
        <v>1</v>
      </c>
      <c r="D78" s="30">
        <f>IFERROR(__xludf.DUMMYFUNCTION("""COMPUTED_VALUE"""),1.0)</f>
        <v>1</v>
      </c>
      <c r="E78" s="30">
        <f>IFERROR(__xludf.DUMMYFUNCTION("""COMPUTED_VALUE"""),1.0)</f>
        <v>1</v>
      </c>
      <c r="F78" s="30">
        <f>IFERROR(__xludf.DUMMYFUNCTION("""COMPUTED_VALUE"""),1.0)</f>
        <v>1</v>
      </c>
      <c r="G78" s="30" t="str">
        <f>IFERROR(__xludf.DUMMYFUNCTION("""COMPUTED_VALUE"""),"4% chance to instantly kill enemies")</f>
        <v>4% chance to instantly kill enemies</v>
      </c>
      <c r="H78" s="42" t="str">
        <f>IFERROR(__xludf.DUMMYFUNCTION("""COMPUTED_VALUE"""),"Zwaardsrust Region: 1900
Rare: Fandangow")</f>
        <v>Zwaardsrust Region: 1900
Rare: Fandangow</v>
      </c>
      <c r="I78" s="30"/>
    </row>
    <row r="79">
      <c r="A79" s="41" t="str">
        <f>IFERROR(__xludf.DUMMYFUNCTION("""COMPUTED_VALUE"""),"Assassin's Dagger")</f>
        <v>Assassin's Dagger</v>
      </c>
      <c r="B79" s="31" t="str">
        <f>IFERROR(__xludf.DUMMYFUNCTION("""COMPUTED_VALUE"""),"Attack")</f>
        <v>Attack</v>
      </c>
      <c r="C79" s="31">
        <f>IFERROR(__xludf.DUMMYFUNCTION("""COMPUTED_VALUE"""),37.0)</f>
        <v>37</v>
      </c>
      <c r="D79" s="31">
        <f>IFERROR(__xludf.DUMMYFUNCTION("""COMPUTED_VALUE"""),39.0)</f>
        <v>39</v>
      </c>
      <c r="E79" s="31">
        <f>IFERROR(__xludf.DUMMYFUNCTION("""COMPUTED_VALUE"""),41.0)</f>
        <v>41</v>
      </c>
      <c r="F79" s="31">
        <f>IFERROR(__xludf.DUMMYFUNCTION("""COMPUTED_VALUE"""),44.0)</f>
        <v>44</v>
      </c>
      <c r="G79" s="31" t="str">
        <f>IFERROR(__xludf.DUMMYFUNCTION("""COMPUTED_VALUE"""),"2% chance to instantly kill enemies")</f>
        <v>2% chance to instantly kill enemies</v>
      </c>
      <c r="H79" s="41" t="str">
        <f>IFERROR(__xludf.DUMMYFUNCTION("""COMPUTED_VALUE"""),"Chest: Caverns Under Octagonia")</f>
        <v>Chest: Caverns Under Octagonia</v>
      </c>
      <c r="I79" s="31"/>
    </row>
    <row r="80">
      <c r="A80" s="42" t="str">
        <f>IFERROR(__xludf.DUMMYFUNCTION("""COMPUTED_VALUE"""),"Eagle Dagger")</f>
        <v>Eagle Dagger</v>
      </c>
      <c r="B80" s="30" t="str">
        <f>IFERROR(__xludf.DUMMYFUNCTION("""COMPUTED_VALUE"""),"Attack")</f>
        <v>Attack</v>
      </c>
      <c r="C80" s="30">
        <f>IFERROR(__xludf.DUMMYFUNCTION("""COMPUTED_VALUE"""),39.0)</f>
        <v>39</v>
      </c>
      <c r="D80" s="30">
        <f>IFERROR(__xludf.DUMMYFUNCTION("""COMPUTED_VALUE"""),41.0)</f>
        <v>41</v>
      </c>
      <c r="E80" s="30">
        <f>IFERROR(__xludf.DUMMYFUNCTION("""COMPUTED_VALUE"""),44.0)</f>
        <v>44</v>
      </c>
      <c r="F80" s="30">
        <f>IFERROR(__xludf.DUMMYFUNCTION("""COMPUTED_VALUE"""),47.0)</f>
        <v>47</v>
      </c>
      <c r="G80" s="30" t="str">
        <f>IFERROR(__xludf.DUMMYFUNCTION("""COMPUTED_VALUE"""),"Chance of surprise attack increased (2%)")</f>
        <v>Chance of surprise attack increased (2%)</v>
      </c>
      <c r="H80" s="42" t="str">
        <f>IFERROR(__xludf.DUMMYFUNCTION("""COMPUTED_VALUE"""),"Puerto Valor, Lonalulu: 3900
Common: Elysium Bird, Rare: Hades Condor")</f>
        <v>Puerto Valor, Lonalulu: 3900
Common: Elysium Bird, Rare: Hades Condor</v>
      </c>
      <c r="I80" s="30"/>
    </row>
    <row r="81">
      <c r="A81" s="41" t="str">
        <f>IFERROR(__xludf.DUMMYFUNCTION("""COMPUTED_VALUE"""),"Bloodletter")</f>
        <v>Bloodletter</v>
      </c>
      <c r="B81" s="31" t="str">
        <f>IFERROR(__xludf.DUMMYFUNCTION("""COMPUTED_VALUE"""),"Attack")</f>
        <v>Attack</v>
      </c>
      <c r="C81" s="31">
        <f>IFERROR(__xludf.DUMMYFUNCTION("""COMPUTED_VALUE"""),1.0)</f>
        <v>1</v>
      </c>
      <c r="D81" s="31">
        <f>IFERROR(__xludf.DUMMYFUNCTION("""COMPUTED_VALUE"""),1.0)</f>
        <v>1</v>
      </c>
      <c r="E81" s="31">
        <f>IFERROR(__xludf.DUMMYFUNCTION("""COMPUTED_VALUE"""),1.0)</f>
        <v>1</v>
      </c>
      <c r="F81" s="31">
        <f>IFERROR(__xludf.DUMMYFUNCTION("""COMPUTED_VALUE"""),1.0)</f>
        <v>1</v>
      </c>
      <c r="G81" s="31" t="str">
        <f>IFERROR(__xludf.DUMMYFUNCTION("""COMPUTED_VALUE"""),"6% chance to instantly kill enemies")</f>
        <v>6% chance to instantly kill enemies</v>
      </c>
      <c r="H81" s="9" t="str">
        <f>IFERROR(__xludf.DUMMYFUNCTION("""COMPUTED_VALUE"""),"Recipe: Knick-Knacks for Nifty Nickers")</f>
        <v>Recipe: Knick-Knacks for Nifty Nickers</v>
      </c>
      <c r="I81" s="41" t="str">
        <f>IFERROR(__xludf.DUMMYFUNCTION("""COMPUTED_VALUE"""),"Platinum Ore: 2
Dragon Horn: 1
Red Eye: 1")</f>
        <v>Platinum Ore: 2
Dragon Horn: 1
Red Eye: 1</v>
      </c>
    </row>
    <row r="82">
      <c r="A82" s="42" t="str">
        <f>IFERROR(__xludf.DUMMYFUNCTION("""COMPUTED_VALUE"""),"Falcon Knife Earring")</f>
        <v>Falcon Knife Earring</v>
      </c>
      <c r="B82" s="30" t="str">
        <f>IFERROR(__xludf.DUMMYFUNCTION("""COMPUTED_VALUE"""),"Attack
Charm")</f>
        <v>Attack
Charm</v>
      </c>
      <c r="C82" s="30" t="str">
        <f>IFERROR(__xludf.DUMMYFUNCTION("""COMPUTED_VALUE"""),"45
13")</f>
        <v>45
13</v>
      </c>
      <c r="D82" s="30" t="str">
        <f>IFERROR(__xludf.DUMMYFUNCTION("""COMPUTED_VALUE"""),"48
13")</f>
        <v>48
13</v>
      </c>
      <c r="E82" s="30" t="str">
        <f>IFERROR(__xludf.DUMMYFUNCTION("""COMPUTED_VALUE"""),"51
14")</f>
        <v>51
14</v>
      </c>
      <c r="F82" s="30" t="str">
        <f>IFERROR(__xludf.DUMMYFUNCTION("""COMPUTED_VALUE"""),"54
15")</f>
        <v>54
15</v>
      </c>
      <c r="G82" s="30" t="str">
        <f>IFERROR(__xludf.DUMMYFUNCTION("""COMPUTED_VALUE"""),"Attacks twice")</f>
        <v>Attacks twice</v>
      </c>
      <c r="H82" s="42" t="str">
        <f>IFERROR(__xludf.DUMMYFUNCTION("""COMPUTED_VALUE"""),"Magic Key: Puerto Valor
Rare: Sail Serpent")</f>
        <v>Magic Key: Puerto Valor
Rare: Sail Serpent</v>
      </c>
      <c r="I82" s="30"/>
    </row>
    <row r="83">
      <c r="A83" s="41" t="str">
        <f>IFERROR(__xludf.DUMMYFUNCTION("""COMPUTED_VALUE"""),"Sword Breaker")</f>
        <v>Sword Breaker</v>
      </c>
      <c r="B83" s="31" t="str">
        <f>IFERROR(__xludf.DUMMYFUNCTION("""COMPUTED_VALUE"""),"Attack")</f>
        <v>Attack</v>
      </c>
      <c r="C83" s="31">
        <f>IFERROR(__xludf.DUMMYFUNCTION("""COMPUTED_VALUE"""),48.0)</f>
        <v>48</v>
      </c>
      <c r="D83" s="31">
        <f>IFERROR(__xludf.DUMMYFUNCTION("""COMPUTED_VALUE"""),51.0)</f>
        <v>51</v>
      </c>
      <c r="E83" s="31">
        <f>IFERROR(__xludf.DUMMYFUNCTION("""COMPUTED_VALUE"""),54.0)</f>
        <v>54</v>
      </c>
      <c r="F83" s="31">
        <f>IFERROR(__xludf.DUMMYFUNCTION("""COMPUTED_VALUE"""),57.0)</f>
        <v>57</v>
      </c>
      <c r="G83" s="31" t="str">
        <f>IFERROR(__xludf.DUMMYFUNCTION("""COMPUTED_VALUE"""),"Chance to reduce enemy attack (8/8/10/10%)")</f>
        <v>Chance to reduce enemy attack (8/8/10/10%)</v>
      </c>
      <c r="H83" s="9" t="str">
        <f>IFERROR(__xludf.DUMMYFUNCTION("""COMPUTED_VALUE"""),"Phnom Nonh, Sniflheim, Snaerfelt: 5500
Recipe: Knick-Knacks for Nifty Nickers")</f>
        <v>Phnom Nonh, Sniflheim, Snaerfelt: 5500
Recipe: Knick-Knacks for Nifty Nickers</v>
      </c>
      <c r="I83" s="41" t="str">
        <f>IFERROR(__xludf.DUMMYFUNCTION("""COMPUTED_VALUE"""),"Silver Ore: 2
Gold Ore: 2
Twisted Talons: 2")</f>
        <v>Silver Ore: 2
Gold Ore: 2
Twisted Talons: 2</v>
      </c>
    </row>
    <row r="84">
      <c r="A84" s="42" t="str">
        <f>IFERROR(__xludf.DUMMYFUNCTION("""COMPUTED_VALUE"""),"Icicle Dirk")</f>
        <v>Icicle Dirk</v>
      </c>
      <c r="B84" s="30" t="str">
        <f>IFERROR(__xludf.DUMMYFUNCTION("""COMPUTED_VALUE"""),"Attack")</f>
        <v>Attack</v>
      </c>
      <c r="C84" s="30">
        <f>IFERROR(__xludf.DUMMYFUNCTION("""COMPUTED_VALUE"""),62.0)</f>
        <v>62</v>
      </c>
      <c r="D84" s="30">
        <f>IFERROR(__xludf.DUMMYFUNCTION("""COMPUTED_VALUE"""),65.0)</f>
        <v>65</v>
      </c>
      <c r="E84" s="30">
        <f>IFERROR(__xludf.DUMMYFUNCTION("""COMPUTED_VALUE"""),68.0)</f>
        <v>68</v>
      </c>
      <c r="F84" s="30">
        <f>IFERROR(__xludf.DUMMYFUNCTION("""COMPUTED_VALUE"""),72.0)</f>
        <v>72</v>
      </c>
      <c r="G84" s="30" t="str">
        <f>IFERROR(__xludf.DUMMYFUNCTION("""COMPUTED_VALUE"""),"Will deal ice damage when attacking
Ice damage to group when used as item")</f>
        <v>Will deal ice damage when attacking
Ice damage to group when used as item</v>
      </c>
      <c r="H84" s="42" t="str">
        <f>IFERROR(__xludf.DUMMYFUNCTION("""COMPUTED_VALUE"""),"Sniflheim: 9000")</f>
        <v>Sniflheim: 9000</v>
      </c>
      <c r="I84" s="30"/>
    </row>
    <row r="85">
      <c r="A85" s="41" t="str">
        <f>IFERROR(__xludf.DUMMYFUNCTION("""COMPUTED_VALUE"""),"Nobleman's Knife")</f>
        <v>Nobleman's Knife</v>
      </c>
      <c r="B85" s="31" t="str">
        <f>IFERROR(__xludf.DUMMYFUNCTION("""COMPUTED_VALUE"""),"Attack
Max MP
Charm")</f>
        <v>Attack
Max MP
Charm</v>
      </c>
      <c r="C85" s="31" t="str">
        <f>IFERROR(__xludf.DUMMYFUNCTION("""COMPUTED_VALUE"""),"64
6
19")</f>
        <v>64
6
19</v>
      </c>
      <c r="D85" s="31" t="str">
        <f>IFERROR(__xludf.DUMMYFUNCTION("""COMPUTED_VALUE"""),"68
7
21")</f>
        <v>68
7
21</v>
      </c>
      <c r="E85" s="31" t="str">
        <f>IFERROR(__xludf.DUMMYFUNCTION("""COMPUTED_VALUE"""),"73
8
23")</f>
        <v>73
8
23</v>
      </c>
      <c r="F85" s="31" t="str">
        <f>IFERROR(__xludf.DUMMYFUNCTION("""COMPUTED_VALUE"""),"78
9
25")</f>
        <v>78
9
25</v>
      </c>
      <c r="G85" s="31" t="str">
        <f>IFERROR(__xludf.DUMMYFUNCTION("""COMPUTED_VALUE"""),"8% chance to beguile humanoids")</f>
        <v>8% chance to beguile humanoids</v>
      </c>
      <c r="H85" s="41" t="str">
        <f>IFERROR(__xludf.DUMMYFUNCTION("""COMPUTED_VALUE"""),"Cabinet: Sniflheim Castle")</f>
        <v>Cabinet: Sniflheim Castle</v>
      </c>
      <c r="I85" s="31"/>
    </row>
    <row r="86">
      <c r="A86" s="42" t="str">
        <f>IFERROR(__xludf.DUMMYFUNCTION("""COMPUTED_VALUE"""),"Serpentscale Skean")</f>
        <v>Serpentscale Skean</v>
      </c>
      <c r="B86" s="30" t="str">
        <f>IFERROR(__xludf.DUMMYFUNCTION("""COMPUTED_VALUE"""),"Attack")</f>
        <v>Attack</v>
      </c>
      <c r="C86" s="30">
        <f>IFERROR(__xludf.DUMMYFUNCTION("""COMPUTED_VALUE"""),66.0)</f>
        <v>66</v>
      </c>
      <c r="D86" s="30">
        <f>IFERROR(__xludf.DUMMYFUNCTION("""COMPUTED_VALUE"""),69.0)</f>
        <v>69</v>
      </c>
      <c r="E86" s="30">
        <f>IFERROR(__xludf.DUMMYFUNCTION("""COMPUTED_VALUE"""),72.0)</f>
        <v>72</v>
      </c>
      <c r="F86" s="30">
        <f>IFERROR(__xludf.DUMMYFUNCTION("""COMPUTED_VALUE"""),75.0)</f>
        <v>75</v>
      </c>
      <c r="G86" s="30" t="str">
        <f>IFERROR(__xludf.DUMMYFUNCTION("""COMPUTED_VALUE"""),"3% chance to confuse enemies
16% chance to envenomate enemies")</f>
        <v>3% chance to confuse enemies
16% chance to envenomate enemies</v>
      </c>
      <c r="H86" s="42" t="str">
        <f>IFERROR(__xludf.DUMMYFUNCTION("""COMPUTED_VALUE"""),"Puerto Valor, Phnom Nonh: 10000")</f>
        <v>Puerto Valor, Phnom Nonh: 10000</v>
      </c>
      <c r="I86" s="30"/>
    </row>
    <row r="87">
      <c r="A87" s="41" t="str">
        <f>IFERROR(__xludf.DUMMYFUNCTION("""COMPUTED_VALUE"""),"Dread Dagger")</f>
        <v>Dread Dagger</v>
      </c>
      <c r="B87" s="31" t="str">
        <f>IFERROR(__xludf.DUMMYFUNCTION("""COMPUTED_VALUE"""),"Attack")</f>
        <v>Attack</v>
      </c>
      <c r="C87" s="31">
        <f>IFERROR(__xludf.DUMMYFUNCTION("""COMPUTED_VALUE"""),67.0)</f>
        <v>67</v>
      </c>
      <c r="D87" s="31">
        <f>IFERROR(__xludf.DUMMYFUNCTION("""COMPUTED_VALUE"""),70.0)</f>
        <v>70</v>
      </c>
      <c r="E87" s="31">
        <f>IFERROR(__xludf.DUMMYFUNCTION("""COMPUTED_VALUE"""),73.0)</f>
        <v>73</v>
      </c>
      <c r="F87" s="31">
        <f>IFERROR(__xludf.DUMMYFUNCTION("""COMPUTED_VALUE"""),77.0)</f>
        <v>77</v>
      </c>
      <c r="G87" s="31" t="str">
        <f>IFERROR(__xludf.DUMMYFUNCTION("""COMPUTED_VALUE"""),"8% chance to paralyze enemies
Bonus damage to Nature (20%)")</f>
        <v>8% chance to paralyze enemies
Bonus damage to Nature (20%)</v>
      </c>
      <c r="H87" s="41" t="str">
        <f>IFERROR(__xludf.DUMMYFUNCTION("""COMPUTED_VALUE"""),"Recipe: The Mothmask Prophecies")</f>
        <v>Recipe: The Mothmask Prophecies</v>
      </c>
      <c r="I87" s="41" t="str">
        <f>IFERROR(__xludf.DUMMYFUNCTION("""COMPUTED_VALUE"""),"Platinum Ore: 2
Coagulant: 2
Evencloth: 1")</f>
        <v>Platinum Ore: 2
Coagulant: 2
Evencloth: 1</v>
      </c>
    </row>
    <row r="88">
      <c r="A88" s="42" t="str">
        <f>IFERROR(__xludf.DUMMYFUNCTION("""COMPUTED_VALUE"""),"Soul Breaker")</f>
        <v>Soul Breaker</v>
      </c>
      <c r="B88" s="30" t="str">
        <f>IFERROR(__xludf.DUMMYFUNCTION("""COMPUTED_VALUE"""),"Attack
Charm")</f>
        <v>Attack
Charm</v>
      </c>
      <c r="C88" s="30" t="str">
        <f>IFERROR(__xludf.DUMMYFUNCTION("""COMPUTED_VALUE"""),"71
21")</f>
        <v>71
21</v>
      </c>
      <c r="D88" s="30" t="str">
        <f>IFERROR(__xludf.DUMMYFUNCTION("""COMPUTED_VALUE"""),"74
22")</f>
        <v>74
22</v>
      </c>
      <c r="E88" s="30" t="str">
        <f>IFERROR(__xludf.DUMMYFUNCTION("""COMPUTED_VALUE"""),"77
23")</f>
        <v>77
23</v>
      </c>
      <c r="F88" s="30" t="str">
        <f>IFERROR(__xludf.DUMMYFUNCTION("""COMPUTED_VALUE"""),"80
25")</f>
        <v>80
25</v>
      </c>
      <c r="G88" s="30" t="str">
        <f>IFERROR(__xludf.DUMMYFUNCTION("""COMPUTED_VALUE"""),"Chance to reduce enemy attack (10/10/12/12%)")</f>
        <v>Chance to reduce enemy attack (10/10/12/12%)</v>
      </c>
      <c r="H88" s="42" t="str">
        <f>IFERROR(__xludf.DUMMYFUNCTION("""COMPUTED_VALUE"""),"Octagonia, Lonalulu: 10500")</f>
        <v>Octagonia, Lonalulu: 10500</v>
      </c>
      <c r="I88" s="30"/>
    </row>
    <row r="89">
      <c r="A89" s="41" t="str">
        <f>IFERROR(__xludf.DUMMYFUNCTION("""COMPUTED_VALUE"""),"Imp Knife")</f>
        <v>Imp Knife</v>
      </c>
      <c r="B89" s="31" t="str">
        <f>IFERROR(__xludf.DUMMYFUNCTION("""COMPUTED_VALUE"""),"Attack")</f>
        <v>Attack</v>
      </c>
      <c r="C89" s="31">
        <f>IFERROR(__xludf.DUMMYFUNCTION("""COMPUTED_VALUE"""),74.0)</f>
        <v>74</v>
      </c>
      <c r="D89" s="31">
        <f>IFERROR(__xludf.DUMMYFUNCTION("""COMPUTED_VALUE"""),77.0)</f>
        <v>77</v>
      </c>
      <c r="E89" s="31">
        <f>IFERROR(__xludf.DUMMYFUNCTION("""COMPUTED_VALUE"""),80.0)</f>
        <v>80</v>
      </c>
      <c r="F89" s="31">
        <f>IFERROR(__xludf.DUMMYFUNCTION("""COMPUTED_VALUE"""),83.0)</f>
        <v>83</v>
      </c>
      <c r="G89" s="31" t="str">
        <f>IFERROR(__xludf.DUMMYFUNCTION("""COMPUTED_VALUE"""),"8% chance to dazzle enemies")</f>
        <v>8% chance to dazzle enemies</v>
      </c>
      <c r="H89" s="41" t="str">
        <f>IFERROR(__xludf.DUMMYFUNCTION("""COMPUTED_VALUE"""),"Octagonia Casino: 60000")</f>
        <v>Octagonia Casino: 60000</v>
      </c>
      <c r="I89" s="31"/>
    </row>
    <row r="90">
      <c r="A90" s="42" t="str">
        <f>IFERROR(__xludf.DUMMYFUNCTION("""COMPUTED_VALUE"""),"Fenrir Fang")</f>
        <v>Fenrir Fang</v>
      </c>
      <c r="B90" s="30" t="str">
        <f>IFERROR(__xludf.DUMMYFUNCTION("""COMPUTED_VALUE"""),"Attack")</f>
        <v>Attack</v>
      </c>
      <c r="C90" s="30">
        <f>IFERROR(__xludf.DUMMYFUNCTION("""COMPUTED_VALUE"""),80.0)</f>
        <v>80</v>
      </c>
      <c r="D90" s="30">
        <f>IFERROR(__xludf.DUMMYFUNCTION("""COMPUTED_VALUE"""),83.0)</f>
        <v>83</v>
      </c>
      <c r="E90" s="30">
        <f>IFERROR(__xludf.DUMMYFUNCTION("""COMPUTED_VALUE"""),86.0)</f>
        <v>86</v>
      </c>
      <c r="F90" s="30">
        <f>IFERROR(__xludf.DUMMYFUNCTION("""COMPUTED_VALUE"""),90.0)</f>
        <v>90</v>
      </c>
      <c r="G90" s="30" t="str">
        <f>IFERROR(__xludf.DUMMYFUNCTION("""COMPUTED_VALUE"""),"Ice damage taken reduced by 10%
Will deal ice damage when attacking
Ice damage to group when used as item")</f>
        <v>Ice damage taken reduced by 10%
Will deal ice damage when attacking
Ice damage to group when used as item</v>
      </c>
      <c r="H90" s="42" t="str">
        <f>IFERROR(__xludf.DUMMYFUNCTION("""COMPUTED_VALUE"""),"Recipe: Snowfield Styles")</f>
        <v>Recipe: Snowfield Styles</v>
      </c>
      <c r="I90" s="42" t="str">
        <f>IFERROR(__xludf.DUMMYFUNCTION("""COMPUTED_VALUE"""),"Mythril Ore: 2
Ice Crystal: 2
Twisted Talons: 1
Savvy Sapphire: 1")</f>
        <v>Mythril Ore: 2
Ice Crystal: 2
Twisted Talons: 1
Savvy Sapphire: 1</v>
      </c>
    </row>
    <row r="91">
      <c r="A91" s="41" t="str">
        <f>IFERROR(__xludf.DUMMYFUNCTION("""COMPUTED_VALUE"""),"Gladius")</f>
        <v>Gladius</v>
      </c>
      <c r="B91" s="31" t="str">
        <f>IFERROR(__xludf.DUMMYFUNCTION("""COMPUTED_VALUE"""),"Attack
Charm")</f>
        <v>Attack
Charm</v>
      </c>
      <c r="C91" s="31" t="str">
        <f>IFERROR(__xludf.DUMMYFUNCTION("""COMPUTED_VALUE"""),"82
25")</f>
        <v>82
25</v>
      </c>
      <c r="D91" s="31" t="str">
        <f>IFERROR(__xludf.DUMMYFUNCTION("""COMPUTED_VALUE"""),"85
26")</f>
        <v>85
26</v>
      </c>
      <c r="E91" s="31" t="str">
        <f>IFERROR(__xludf.DUMMYFUNCTION("""COMPUTED_VALUE"""),"88
28")</f>
        <v>88
28</v>
      </c>
      <c r="F91" s="31" t="str">
        <f>IFERROR(__xludf.DUMMYFUNCTION("""COMPUTED_VALUE"""),"91
30")</f>
        <v>91
30</v>
      </c>
      <c r="G91" s="31" t="str">
        <f>IFERROR(__xludf.DUMMYFUNCTION("""COMPUTED_VALUE"""),"--")</f>
        <v>--</v>
      </c>
      <c r="H91" s="41" t="str">
        <f>IFERROR(__xludf.DUMMYFUNCTION("""COMPUTED_VALUE"""),"Hotto, Gallopolis, Gondolia, Arboria: 13000")</f>
        <v>Hotto, Gallopolis, Gondolia, Arboria: 13000</v>
      </c>
      <c r="I91" s="31"/>
    </row>
    <row r="92">
      <c r="A92" s="42" t="str">
        <f>IFERROR(__xludf.DUMMYFUNCTION("""COMPUTED_VALUE"""),"Gyphon's Wing")</f>
        <v>Gyphon's Wing</v>
      </c>
      <c r="B92" s="30" t="str">
        <f>IFERROR(__xludf.DUMMYFUNCTION("""COMPUTED_VALUE"""),"Attack")</f>
        <v>Attack</v>
      </c>
      <c r="C92" s="30">
        <f>IFERROR(__xludf.DUMMYFUNCTION("""COMPUTED_VALUE"""),100.0)</f>
        <v>100</v>
      </c>
      <c r="D92" s="30">
        <f>IFERROR(__xludf.DUMMYFUNCTION("""COMPUTED_VALUE"""),106.0)</f>
        <v>106</v>
      </c>
      <c r="E92" s="30">
        <f>IFERROR(__xludf.DUMMYFUNCTION("""COMPUTED_VALUE"""),112.0)</f>
        <v>112</v>
      </c>
      <c r="F92" s="30">
        <f>IFERROR(__xludf.DUMMYFUNCTION("""COMPUTED_VALUE"""),119.0)</f>
        <v>119</v>
      </c>
      <c r="G92" s="30" t="str">
        <f>IFERROR(__xludf.DUMMYFUNCTION("""COMPUTED_VALUE"""),"Chance of surprise attack increased (3/3/4/4%)")</f>
        <v>Chance of surprise attack increased (3/3/4/4%)</v>
      </c>
      <c r="H92" s="42" t="str">
        <f>IFERROR(__xludf.DUMMYFUNCTION("""COMPUTED_VALUE"""),"Havens Above, Trial Isle: 16000")</f>
        <v>Havens Above, Trial Isle: 16000</v>
      </c>
      <c r="I92" s="30"/>
    </row>
    <row r="93">
      <c r="A93" s="41" t="str">
        <f>IFERROR(__xludf.DUMMYFUNCTION("""COMPUTED_VALUE"""),"Flame Tang")</f>
        <v>Flame Tang</v>
      </c>
      <c r="B93" s="31" t="str">
        <f>IFERROR(__xludf.DUMMYFUNCTION("""COMPUTED_VALUE"""),"Attack")</f>
        <v>Attack</v>
      </c>
      <c r="C93" s="31">
        <f>IFERROR(__xludf.DUMMYFUNCTION("""COMPUTED_VALUE"""),100.0)</f>
        <v>100</v>
      </c>
      <c r="D93" s="31">
        <f>IFERROR(__xludf.DUMMYFUNCTION("""COMPUTED_VALUE"""),106.0)</f>
        <v>106</v>
      </c>
      <c r="E93" s="31">
        <f>IFERROR(__xludf.DUMMYFUNCTION("""COMPUTED_VALUE"""),112.0)</f>
        <v>112</v>
      </c>
      <c r="F93" s="31">
        <f>IFERROR(__xludf.DUMMYFUNCTION("""COMPUTED_VALUE"""),119.0)</f>
        <v>119</v>
      </c>
      <c r="G93" s="31" t="str">
        <f>IFERROR(__xludf.DUMMYFUNCTION("""COMPUTED_VALUE"""),"Will deal fire damage when attacking")</f>
        <v>Will deal fire damage when attacking</v>
      </c>
      <c r="H93" s="41" t="str">
        <f>IFERROR(__xludf.DUMMYFUNCTION("""COMPUTED_VALUE"""),"Recipe: Sizzling Styles
Rare: Infernal Serpent")</f>
        <v>Recipe: Sizzling Styles
Rare: Infernal Serpent</v>
      </c>
      <c r="I93" s="41" t="str">
        <f>IFERROR(__xludf.DUMMYFUNCTION("""COMPUTED_VALUE"""),"Lava Lump: 2
Crimson Coral: 3
Royal Ruby: 1
Densinium: 2")</f>
        <v>Lava Lump: 2
Crimson Coral: 3
Royal Ruby: 1
Densinium: 2</v>
      </c>
    </row>
    <row r="94">
      <c r="A94" s="42" t="str">
        <f>IFERROR(__xludf.DUMMYFUNCTION("""COMPUTED_VALUE"""),"High-Born Blade")</f>
        <v>High-Born Blade</v>
      </c>
      <c r="B94" s="30" t="str">
        <f>IFERROR(__xludf.DUMMYFUNCTION("""COMPUTED_VALUE"""),"Attack
Max MP
Charm")</f>
        <v>Attack
Max MP
Charm</v>
      </c>
      <c r="C94" s="30" t="str">
        <f>IFERROR(__xludf.DUMMYFUNCTION("""COMPUTED_VALUE"""),"121
15
35")</f>
        <v>121
15
35</v>
      </c>
      <c r="D94" s="30" t="str">
        <f>IFERROR(__xludf.DUMMYFUNCTION("""COMPUTED_VALUE"""),"127
16
36")</f>
        <v>127
16
36</v>
      </c>
      <c r="E94" s="30" t="str">
        <f>IFERROR(__xludf.DUMMYFUNCTION("""COMPUTED_VALUE"""),"134
17
38")</f>
        <v>134
17
38</v>
      </c>
      <c r="F94" s="30" t="str">
        <f>IFERROR(__xludf.DUMMYFUNCTION("""COMPUTED_VALUE"""),"141
18
40")</f>
        <v>141
18
40</v>
      </c>
      <c r="G94" s="30" t="str">
        <f>IFERROR(__xludf.DUMMYFUNCTION("""COMPUTED_VALUE"""),"12% chance to beguile humanoids")</f>
        <v>12% chance to beguile humanoids</v>
      </c>
      <c r="H94" s="42" t="str">
        <f>IFERROR(__xludf.DUMMYFUNCTION("""COMPUTED_VALUE"""),"Postgame Event: Sniflheim")</f>
        <v>Postgame Event: Sniflheim</v>
      </c>
      <c r="I94" s="30"/>
    </row>
    <row r="95">
      <c r="A95" s="41" t="str">
        <f>IFERROR(__xludf.DUMMYFUNCTION("""COMPUTED_VALUE"""),"Thunderstorm Skean")</f>
        <v>Thunderstorm Skean</v>
      </c>
      <c r="B95" s="31" t="str">
        <f>IFERROR(__xludf.DUMMYFUNCTION("""COMPUTED_VALUE"""),"Attack
Charm")</f>
        <v>Attack
Charm</v>
      </c>
      <c r="C95" s="31" t="str">
        <f>IFERROR(__xludf.DUMMYFUNCTION("""COMPUTED_VALUE"""),"119
37")</f>
        <v>119
37</v>
      </c>
      <c r="D95" s="31" t="str">
        <f>IFERROR(__xludf.DUMMYFUNCTION("""COMPUTED_VALUE"""),"125
38")</f>
        <v>125
38</v>
      </c>
      <c r="E95" s="31" t="str">
        <f>IFERROR(__xludf.DUMMYFUNCTION("""COMPUTED_VALUE"""),"131
40")</f>
        <v>131
40</v>
      </c>
      <c r="F95" s="31" t="str">
        <f>IFERROR(__xludf.DUMMYFUNCTION("""COMPUTED_VALUE"""),"138
42")</f>
        <v>138
42</v>
      </c>
      <c r="G95" s="31" t="str">
        <f>IFERROR(__xludf.DUMMYFUNCTION("""COMPUTED_VALUE"""),"Will deal lightning damage when attacking
Max MP+12")</f>
        <v>Will deal lightning damage when attacking
Max MP+12</v>
      </c>
      <c r="H95" s="9" t="str">
        <f>IFERROR(__xludf.DUMMYFUNCTION("""COMPUTED_VALUE"""),"Rare: Golden Goliath")</f>
        <v>Rare: Golden Goliath</v>
      </c>
      <c r="I95" s="31"/>
    </row>
    <row r="96">
      <c r="A96" s="42" t="str">
        <f>IFERROR(__xludf.DUMMYFUNCTION("""COMPUTED_VALUE"""),"Knife of Strife")</f>
        <v>Knife of Strife</v>
      </c>
      <c r="B96" s="30" t="str">
        <f>IFERROR(__xludf.DUMMYFUNCTION("""COMPUTED_VALUE"""),"Attack")</f>
        <v>Attack</v>
      </c>
      <c r="C96" s="30">
        <f>IFERROR(__xludf.DUMMYFUNCTION("""COMPUTED_VALUE"""),142.0)</f>
        <v>142</v>
      </c>
      <c r="D96" s="30">
        <f>IFERROR(__xludf.DUMMYFUNCTION("""COMPUTED_VALUE"""),148.0)</f>
        <v>148</v>
      </c>
      <c r="E96" s="30">
        <f>IFERROR(__xludf.DUMMYFUNCTION("""COMPUTED_VALUE"""),155.0)</f>
        <v>155</v>
      </c>
      <c r="F96" s="30">
        <f>IFERROR(__xludf.DUMMYFUNCTION("""COMPUTED_VALUE"""),162.0)</f>
        <v>162</v>
      </c>
      <c r="G96" s="30" t="str">
        <f>IFERROR(__xludf.DUMMYFUNCTION("""COMPUTED_VALUE"""),"12% chance to dazzle enemies")</f>
        <v>12% chance to dazzle enemies</v>
      </c>
      <c r="H96" s="42" t="str">
        <f>IFERROR(__xludf.DUMMYFUNCTION("""COMPUTED_VALUE"""),"Cobblestone: 40000")</f>
        <v>Cobblestone: 40000</v>
      </c>
      <c r="I96" s="30"/>
    </row>
    <row r="97">
      <c r="A97" s="41" t="str">
        <f>IFERROR(__xludf.DUMMYFUNCTION("""COMPUTED_VALUE"""),"El Stupendo")</f>
        <v>El Stupendo</v>
      </c>
      <c r="B97" s="31" t="str">
        <f>IFERROR(__xludf.DUMMYFUNCTION("""COMPUTED_VALUE"""),"Attack
Evasion %
Deftness
Charm")</f>
        <v>Attack
Evasion %
Deftness
Charm</v>
      </c>
      <c r="C97" s="31" t="str">
        <f>IFERROR(__xludf.DUMMYFUNCTION("""COMPUTED_VALUE"""),"140
1
12
42")</f>
        <v>140
1
12
42</v>
      </c>
      <c r="D97" s="31" t="str">
        <f>IFERROR(__xludf.DUMMYFUNCTION("""COMPUTED_VALUE"""),"146
2
13
43")</f>
        <v>146
2
13
43</v>
      </c>
      <c r="E97" s="31" t="str">
        <f>IFERROR(__xludf.DUMMYFUNCTION("""COMPUTED_VALUE"""),"153
2
14
44")</f>
        <v>153
2
14
44</v>
      </c>
      <c r="F97" s="31" t="str">
        <f>IFERROR(__xludf.DUMMYFUNCTION("""COMPUTED_VALUE"""),"160
3
15
46")</f>
        <v>160
3
15
46</v>
      </c>
      <c r="G97" s="31" t="str">
        <f>IFERROR(__xludf.DUMMYFUNCTION("""COMPUTED_VALUE"""),"--")</f>
        <v>--</v>
      </c>
      <c r="H97" s="41" t="str">
        <f>IFERROR(__xludf.DUMMYFUNCTION("""COMPUTED_VALUE"""),"Recipe: Big Hitters of the Battlefield")</f>
        <v>Recipe: Big Hitters of the Battlefield</v>
      </c>
      <c r="I97" s="41" t="str">
        <f>IFERROR(__xludf.DUMMYFUNCTION("""COMPUTED_VALUE"""),"Orichalcum: 1
Gold Bar: 1
Crimsonite: 1
Buzzberries: 3
Cherry Blossom Petal: 3")</f>
        <v>Orichalcum: 1
Gold Bar: 1
Crimsonite: 1
Buzzberries: 3
Cherry Blossom Petal: 3</v>
      </c>
    </row>
    <row r="98">
      <c r="A98" s="42" t="str">
        <f>IFERROR(__xludf.DUMMYFUNCTION("""COMPUTED_VALUE"""),"Timeshear")</f>
        <v>Timeshear</v>
      </c>
      <c r="B98" s="30" t="str">
        <f>IFERROR(__xludf.DUMMYFUNCTION("""COMPUTED_VALUE"""),"Attack
Agility")</f>
        <v>Attack
Agility</v>
      </c>
      <c r="C98" s="30" t="str">
        <f>IFERROR(__xludf.DUMMYFUNCTION("""COMPUTED_VALUE"""),"142
36")</f>
        <v>142
36</v>
      </c>
      <c r="D98" s="30" t="str">
        <f>IFERROR(__xludf.DUMMYFUNCTION("""COMPUTED_VALUE"""),"148
38")</f>
        <v>148
38</v>
      </c>
      <c r="E98" s="30" t="str">
        <f>IFERROR(__xludf.DUMMYFUNCTION("""COMPUTED_VALUE"""),"155
40")</f>
        <v>155
40</v>
      </c>
      <c r="F98" s="30" t="str">
        <f>IFERROR(__xludf.DUMMYFUNCTION("""COMPUTED_VALUE"""),"162
42")</f>
        <v>162
42</v>
      </c>
      <c r="G98" s="30" t="str">
        <f>IFERROR(__xludf.DUMMYFUNCTION("""COMPUTED_VALUE"""),"Chance to Stop Time on attack (4/6/8/10%)")</f>
        <v>Chance to Stop Time on attack (4/6/8/10%)</v>
      </c>
      <c r="H98" s="42" t="str">
        <f>IFERROR(__xludf.DUMMYFUNCTION("""COMPUTED_VALUE"""),"Recipe: Big Hitters of the Battlefield")</f>
        <v>Recipe: Big Hitters of the Battlefield</v>
      </c>
      <c r="I98" s="42" t="str">
        <f>IFERROR(__xludf.DUMMYFUNCTION("""COMPUTED_VALUE"""),"Dracolyte: 3
Chronocrystal: 2
Cumulonimbough: 3
Wakerobin: 3
Black Tear: 2")</f>
        <v>Dracolyte: 3
Chronocrystal: 2
Cumulonimbough: 3
Wakerobin: 3
Black Tear: 2</v>
      </c>
    </row>
    <row r="99">
      <c r="A99" s="41" t="str">
        <f>IFERROR(__xludf.DUMMYFUNCTION("""COMPUTED_VALUE"""),"Deft Dagger")</f>
        <v>Deft Dagger</v>
      </c>
      <c r="B99" s="31" t="str">
        <f>IFERROR(__xludf.DUMMYFUNCTION("""COMPUTED_VALUE"""),"Attack
Evasion %")</f>
        <v>Attack
Evasion %</v>
      </c>
      <c r="C99" s="31" t="str">
        <f>IFERROR(__xludf.DUMMYFUNCTION("""COMPUTED_VALUE"""),"86
1")</f>
        <v>86
1</v>
      </c>
      <c r="D99" s="31" t="str">
        <f>IFERROR(__xludf.DUMMYFUNCTION("""COMPUTED_VALUE"""),"-")</f>
        <v>-</v>
      </c>
      <c r="E99" s="31" t="str">
        <f>IFERROR(__xludf.DUMMYFUNCTION("""COMPUTED_VALUE"""),"-")</f>
        <v>-</v>
      </c>
      <c r="F99" s="31" t="str">
        <f>IFERROR(__xludf.DUMMYFUNCTION("""COMPUTED_VALUE"""),"-")</f>
        <v>-</v>
      </c>
      <c r="G99" s="31" t="str">
        <f>IFERROR(__xludf.DUMMYFUNCTION("""COMPUTED_VALUE"""),"Chance of surprise attack increased by 3%")</f>
        <v>Chance of surprise attack increased by 3%</v>
      </c>
      <c r="H99" s="41" t="str">
        <f>IFERROR(__xludf.DUMMYFUNCTION("""COMPUTED_VALUE"""),"Mini Medal Stamp: 65")</f>
        <v>Mini Medal Stamp: 65</v>
      </c>
      <c r="I99" s="41"/>
    </row>
    <row r="100">
      <c r="A100" s="42" t="str">
        <f>IFERROR(__xludf.DUMMYFUNCTION("""COMPUTED_VALUE"""),"Darting Dagger")</f>
        <v>Darting Dagger</v>
      </c>
      <c r="B100" s="30" t="str">
        <f>IFERROR(__xludf.DUMMYFUNCTION("""COMPUTED_VALUE"""),"Attack
Evasion %")</f>
        <v>Attack
Evasion %</v>
      </c>
      <c r="C100" s="30" t="str">
        <f>IFERROR(__xludf.DUMMYFUNCTION("""COMPUTED_VALUE"""),"111
1")</f>
        <v>111
1</v>
      </c>
      <c r="D100" s="30" t="str">
        <f>IFERROR(__xludf.DUMMYFUNCTION("""COMPUTED_VALUE"""),"-")</f>
        <v>-</v>
      </c>
      <c r="E100" s="30" t="str">
        <f>IFERROR(__xludf.DUMMYFUNCTION("""COMPUTED_VALUE"""),"-")</f>
        <v>-</v>
      </c>
      <c r="F100" s="30" t="str">
        <f>IFERROR(__xludf.DUMMYFUNCTION("""COMPUTED_VALUE"""),"-")</f>
        <v>-</v>
      </c>
      <c r="G100" s="30" t="str">
        <f>IFERROR(__xludf.DUMMYFUNCTION("""COMPUTED_VALUE"""),"Chance of surprise attack increased by 3%")</f>
        <v>Chance of surprise attack increased by 3%</v>
      </c>
      <c r="H100" s="42" t="str">
        <f>IFERROR(__xludf.DUMMYFUNCTION("""COMPUTED_VALUE"""),"Recipe: A Hero's Book of Basic Weapons")</f>
        <v>Recipe: A Hero's Book of Basic Weapons</v>
      </c>
      <c r="I100" s="42" t="str">
        <f>IFERROR(__xludf.DUMMYFUNCTION("""COMPUTED_VALUE"""),"Deft Dagger: 1
Agate of Evolution: 1
Slipweed: 1
Gold Nuglet: 1")</f>
        <v>Deft Dagger: 1
Agate of Evolution: 1
Slipweed: 1
Gold Nuglet: 1</v>
      </c>
    </row>
    <row r="101">
      <c r="A101" s="41" t="str">
        <f>IFERROR(__xludf.DUMMYFUNCTION("""COMPUTED_VALUE"""),"Dashing Dagger")</f>
        <v>Dashing Dagger</v>
      </c>
      <c r="B101" s="31" t="str">
        <f>IFERROR(__xludf.DUMMYFUNCTION("""COMPUTED_VALUE"""),"Attack
Evasion %")</f>
        <v>Attack
Evasion %</v>
      </c>
      <c r="C101" s="31" t="str">
        <f>IFERROR(__xludf.DUMMYFUNCTION("""COMPUTED_VALUE"""),"132
1")</f>
        <v>132
1</v>
      </c>
      <c r="D101" s="31" t="str">
        <f>IFERROR(__xludf.DUMMYFUNCTION("""COMPUTED_VALUE"""),"-")</f>
        <v>-</v>
      </c>
      <c r="E101" s="31" t="str">
        <f>IFERROR(__xludf.DUMMYFUNCTION("""COMPUTED_VALUE"""),"-")</f>
        <v>-</v>
      </c>
      <c r="F101" s="31" t="str">
        <f>IFERROR(__xludf.DUMMYFUNCTION("""COMPUTED_VALUE"""),"-")</f>
        <v>-</v>
      </c>
      <c r="G101" s="31" t="str">
        <f>IFERROR(__xludf.DUMMYFUNCTION("""COMPUTED_VALUE"""),"Chance of surprise attack increased by 3%")</f>
        <v>Chance of surprise attack increased by 3%</v>
      </c>
      <c r="H101" s="41" t="str">
        <f>IFERROR(__xludf.DUMMYFUNCTION("""COMPUTED_VALUE"""),"Recipe: A Hero's Book of Better Weapons")</f>
        <v>Recipe: A Hero's Book of Better Weapons</v>
      </c>
      <c r="I101" s="41" t="str">
        <f>IFERROR(__xludf.DUMMYFUNCTION("""COMPUTED_VALUE"""),"Darting Dagger: 1
Agate of Evolution: 2
Gold Nuglet: 2
Artful Amethyst: 1")</f>
        <v>Darting Dagger: 1
Agate of Evolution: 2
Gold Nuglet: 2
Artful Amethyst: 1</v>
      </c>
    </row>
    <row r="102">
      <c r="A102" s="42" t="str">
        <f>IFERROR(__xludf.DUMMYFUNCTION("""COMPUTED_VALUE"""),"Dynamo Dagger")</f>
        <v>Dynamo Dagger</v>
      </c>
      <c r="B102" s="30" t="str">
        <f>IFERROR(__xludf.DUMMYFUNCTION("""COMPUTED_VALUE"""),"Attack
Evasion %")</f>
        <v>Attack
Evasion %</v>
      </c>
      <c r="C102" s="30" t="str">
        <f>IFERROR(__xludf.DUMMYFUNCTION("""COMPUTED_VALUE"""),"164
1")</f>
        <v>164
1</v>
      </c>
      <c r="D102" s="30" t="str">
        <f>IFERROR(__xludf.DUMMYFUNCTION("""COMPUTED_VALUE"""),"168
1")</f>
        <v>168
1</v>
      </c>
      <c r="E102" s="30" t="str">
        <f>IFERROR(__xludf.DUMMYFUNCTION("""COMPUTED_VALUE"""),"172
1")</f>
        <v>172
1</v>
      </c>
      <c r="F102" s="30" t="str">
        <f>IFERROR(__xludf.DUMMYFUNCTION("""COMPUTED_VALUE"""),"176
1")</f>
        <v>176
1</v>
      </c>
      <c r="G102" s="30" t="str">
        <f>IFERROR(__xludf.DUMMYFUNCTION("""COMPUTED_VALUE"""),"Chance of surprise attack increased by 5%")</f>
        <v>Chance of surprise attack increased by 5%</v>
      </c>
      <c r="H102" s="42" t="str">
        <f>IFERROR(__xludf.DUMMYFUNCTION("""COMPUTED_VALUE"""),"Recipe: A Hero's Book of Brilliant Weapons")</f>
        <v>Recipe: A Hero's Book of Brilliant Weapons</v>
      </c>
      <c r="I102" s="42" t="str">
        <f>IFERROR(__xludf.DUMMYFUNCTION("""COMPUTED_VALUE"""),"Dashing Dagger: 1
Uber Agate of Evolution: 1
Slipweed: 3
Gold Nuglet: 3
Crimsonite: 1")</f>
        <v>Dashing Dagger: 1
Uber Agate of Evolution: 1
Slipweed: 3
Gold Nuglet: 3
Crimsonite: 1</v>
      </c>
    </row>
    <row r="103">
      <c r="A103" s="40" t="str">
        <f>IFERROR(__xludf.DUMMYFUNCTION("""COMPUTED_VALUE"""),"Boomerangs")</f>
        <v>Boomerangs</v>
      </c>
      <c r="B103" s="24"/>
      <c r="C103" s="24"/>
      <c r="D103" s="24"/>
      <c r="E103" s="24"/>
      <c r="F103" s="24"/>
      <c r="G103" s="24"/>
      <c r="H103" s="24"/>
      <c r="I103" s="25"/>
    </row>
    <row r="104">
      <c r="A104" s="42" t="str">
        <f>IFERROR(__xludf.DUMMYFUNCTION("""COMPUTED_VALUE"""),"Birchwood Boomerang")</f>
        <v>Birchwood Boomerang</v>
      </c>
      <c r="B104" s="30" t="str">
        <f>IFERROR(__xludf.DUMMYFUNCTION("""COMPUTED_VALUE"""),"Attack")</f>
        <v>Attack</v>
      </c>
      <c r="C104" s="30">
        <f>IFERROR(__xludf.DUMMYFUNCTION("""COMPUTED_VALUE"""),8.0)</f>
        <v>8</v>
      </c>
      <c r="D104" s="30">
        <f>IFERROR(__xludf.DUMMYFUNCTION("""COMPUTED_VALUE"""),11.0)</f>
        <v>11</v>
      </c>
      <c r="E104" s="30">
        <f>IFERROR(__xludf.DUMMYFUNCTION("""COMPUTED_VALUE"""),14.0)</f>
        <v>14</v>
      </c>
      <c r="F104" s="30">
        <f>IFERROR(__xludf.DUMMYFUNCTION("""COMPUTED_VALUE"""),17.0)</f>
        <v>17</v>
      </c>
      <c r="G104" s="30" t="str">
        <f>IFERROR(__xludf.DUMMYFUNCTION("""COMPUTED_VALUE"""),"--")</f>
        <v>--</v>
      </c>
      <c r="H104" s="42" t="str">
        <f>IFERROR(__xludf.DUMMYFUNCTION("""COMPUTED_VALUE"""),"Downtown: 200")</f>
        <v>Downtown: 200</v>
      </c>
      <c r="I104" s="45"/>
    </row>
    <row r="105">
      <c r="A105" s="41" t="str">
        <f>IFERROR(__xludf.DUMMYFUNCTION("""COMPUTED_VALUE"""),"Boomerang")</f>
        <v>Boomerang</v>
      </c>
      <c r="B105" s="31" t="str">
        <f>IFERROR(__xludf.DUMMYFUNCTION("""COMPUTED_VALUE"""),"Attack")</f>
        <v>Attack</v>
      </c>
      <c r="C105" s="31">
        <f>IFERROR(__xludf.DUMMYFUNCTION("""COMPUTED_VALUE"""),15.0)</f>
        <v>15</v>
      </c>
      <c r="D105" s="31">
        <f>IFERROR(__xludf.DUMMYFUNCTION("""COMPUTED_VALUE"""),16.0)</f>
        <v>16</v>
      </c>
      <c r="E105" s="31">
        <f>IFERROR(__xludf.DUMMYFUNCTION("""COMPUTED_VALUE"""),17.0)</f>
        <v>17</v>
      </c>
      <c r="F105" s="31">
        <f>IFERROR(__xludf.DUMMYFUNCTION("""COMPUTED_VALUE"""),19.0)</f>
        <v>19</v>
      </c>
      <c r="G105" s="31" t="str">
        <f>IFERROR(__xludf.DUMMYFUNCTION("""COMPUTED_VALUE"""),"--")</f>
        <v>--</v>
      </c>
      <c r="H105" s="41" t="str">
        <f>IFERROR(__xludf.DUMMYFUNCTION("""COMPUTED_VALUE"""),"Manglegrove, Emerald Coast, Hotto: 420")</f>
        <v>Manglegrove, Emerald Coast, Hotto: 420</v>
      </c>
      <c r="I105" s="46"/>
    </row>
    <row r="106">
      <c r="A106" s="42" t="str">
        <f>IFERROR(__xludf.DUMMYFUNCTION("""COMPUTED_VALUE"""),"Crucerang")</f>
        <v>Crucerang</v>
      </c>
      <c r="B106" s="30" t="str">
        <f>IFERROR(__xludf.DUMMYFUNCTION("""COMPUTED_VALUE"""),"Attack")</f>
        <v>Attack</v>
      </c>
      <c r="C106" s="30">
        <f>IFERROR(__xludf.DUMMYFUNCTION("""COMPUTED_VALUE"""),19.0)</f>
        <v>19</v>
      </c>
      <c r="D106" s="30">
        <f>IFERROR(__xludf.DUMMYFUNCTION("""COMPUTED_VALUE"""),20.0)</f>
        <v>20</v>
      </c>
      <c r="E106" s="30">
        <f>IFERROR(__xludf.DUMMYFUNCTION("""COMPUTED_VALUE"""),21.0)</f>
        <v>21</v>
      </c>
      <c r="F106" s="30">
        <f>IFERROR(__xludf.DUMMYFUNCTION("""COMPUTED_VALUE"""),23.0)</f>
        <v>23</v>
      </c>
      <c r="G106" s="30" t="str">
        <f>IFERROR(__xludf.DUMMYFUNCTION("""COMPUTED_VALUE"""),"--")</f>
        <v>--</v>
      </c>
      <c r="H106" s="42" t="str">
        <f>IFERROR(__xludf.DUMMYFUNCTION("""COMPUTED_VALUE"""),"Gallopolis, Gondolia: 750
Quest: Put a Ring on It")</f>
        <v>Gallopolis, Gondolia: 750
Quest: Put a Ring on It</v>
      </c>
      <c r="I106" s="45"/>
    </row>
    <row r="107">
      <c r="A107" s="41" t="str">
        <f>IFERROR(__xludf.DUMMYFUNCTION("""COMPUTED_VALUE"""),"Edged Boomerang")</f>
        <v>Edged Boomerang</v>
      </c>
      <c r="B107" s="31" t="str">
        <f>IFERROR(__xludf.DUMMYFUNCTION("""COMPUTED_VALUE"""),"Attack")</f>
        <v>Attack</v>
      </c>
      <c r="C107" s="31">
        <f>IFERROR(__xludf.DUMMYFUNCTION("""COMPUTED_VALUE"""),25.0)</f>
        <v>25</v>
      </c>
      <c r="D107" s="31">
        <f>IFERROR(__xludf.DUMMYFUNCTION("""COMPUTED_VALUE"""),26.0)</f>
        <v>26</v>
      </c>
      <c r="E107" s="31">
        <f>IFERROR(__xludf.DUMMYFUNCTION("""COMPUTED_VALUE"""),28.0)</f>
        <v>28</v>
      </c>
      <c r="F107" s="31">
        <f>IFERROR(__xludf.DUMMYFUNCTION("""COMPUTED_VALUE"""),30.0)</f>
        <v>30</v>
      </c>
      <c r="G107" s="31" t="str">
        <f>IFERROR(__xludf.DUMMYFUNCTION("""COMPUTED_VALUE"""),"--")</f>
        <v>--</v>
      </c>
      <c r="H107" s="41" t="str">
        <f>IFERROR(__xludf.DUMMYFUNCTION("""COMPUTED_VALUE"""),"Octagonia, Puerto Valor: 1500")</f>
        <v>Octagonia, Puerto Valor: 1500</v>
      </c>
      <c r="I107" s="46"/>
    </row>
    <row r="108">
      <c r="A108" s="42" t="str">
        <f>IFERROR(__xludf.DUMMYFUNCTION("""COMPUTED_VALUE"""),"Soarin' Steel")</f>
        <v>Soarin' Steel</v>
      </c>
      <c r="B108" s="30" t="str">
        <f>IFERROR(__xludf.DUMMYFUNCTION("""COMPUTED_VALUE"""),"Attack")</f>
        <v>Attack</v>
      </c>
      <c r="C108" s="30">
        <f>IFERROR(__xludf.DUMMYFUNCTION("""COMPUTED_VALUE"""),32.0)</f>
        <v>32</v>
      </c>
      <c r="D108" s="30">
        <f>IFERROR(__xludf.DUMMYFUNCTION("""COMPUTED_VALUE"""),33.0)</f>
        <v>33</v>
      </c>
      <c r="E108" s="30">
        <f>IFERROR(__xludf.DUMMYFUNCTION("""COMPUTED_VALUE"""),34.0)</f>
        <v>34</v>
      </c>
      <c r="F108" s="30">
        <f>IFERROR(__xludf.DUMMYFUNCTION("""COMPUTED_VALUE"""),37.0)</f>
        <v>37</v>
      </c>
      <c r="G108" s="30" t="str">
        <f>IFERROR(__xludf.DUMMYFUNCTION("""COMPUTED_VALUE"""),"--")</f>
        <v>--</v>
      </c>
      <c r="H108" s="42" t="str">
        <f>IFERROR(__xludf.DUMMYFUNCTION("""COMPUTED_VALUE"""),"Lonalulu: 2800
Recipe: Smithing with Steel")</f>
        <v>Lonalulu: 2800
Recipe: Smithing with Steel</v>
      </c>
      <c r="I108" s="42" t="str">
        <f>IFERROR(__xludf.DUMMYFUNCTION("""COMPUTED_VALUE"""),"Silver Ore: 2
Iron Ore: 2
Big Bone: 2")</f>
        <v>Silver Ore: 2
Iron Ore: 2
Big Bone: 2</v>
      </c>
    </row>
    <row r="109">
      <c r="A109" s="41" t="str">
        <f>IFERROR(__xludf.DUMMYFUNCTION("""COMPUTED_VALUE"""),"Winter's Wing")</f>
        <v>Winter's Wing</v>
      </c>
      <c r="B109" s="31" t="str">
        <f>IFERROR(__xludf.DUMMYFUNCTION("""COMPUTED_VALUE"""),"Attack")</f>
        <v>Attack</v>
      </c>
      <c r="C109" s="31">
        <f>IFERROR(__xludf.DUMMYFUNCTION("""COMPUTED_VALUE"""),40.0)</f>
        <v>40</v>
      </c>
      <c r="D109" s="31">
        <f>IFERROR(__xludf.DUMMYFUNCTION("""COMPUTED_VALUE"""),41.0)</f>
        <v>41</v>
      </c>
      <c r="E109" s="31">
        <f>IFERROR(__xludf.DUMMYFUNCTION("""COMPUTED_VALUE"""),43.0)</f>
        <v>43</v>
      </c>
      <c r="F109" s="31">
        <f>IFERROR(__xludf.DUMMYFUNCTION("""COMPUTED_VALUE"""),45.0)</f>
        <v>45</v>
      </c>
      <c r="G109" s="31" t="str">
        <f>IFERROR(__xludf.DUMMYFUNCTION("""COMPUTED_VALUE"""),"Will deal ice damage when attacking")</f>
        <v>Will deal ice damage when attacking</v>
      </c>
      <c r="H109" s="41" t="str">
        <f>IFERROR(__xludf.DUMMYFUNCTION("""COMPUTED_VALUE"""),"Sniflheim: 4900
Recipe: Supercool Kit")</f>
        <v>Sniflheim: 4900
Recipe: Supercool Kit</v>
      </c>
      <c r="I109" s="41" t="str">
        <f>IFERROR(__xludf.DUMMYFUNCTION("""COMPUTED_VALUE"""),"Avabranche: 2
Permasnow: 2
Platinum Ore: 2")</f>
        <v>Avabranche: 2
Permasnow: 2
Platinum Ore: 2</v>
      </c>
    </row>
    <row r="110">
      <c r="A110" s="42" t="str">
        <f>IFERROR(__xludf.DUMMYFUNCTION("""COMPUTED_VALUE"""),"Magic Circle")</f>
        <v>Magic Circle</v>
      </c>
      <c r="B110" s="30" t="str">
        <f>IFERROR(__xludf.DUMMYFUNCTION("""COMPUTED_VALUE"""),"Attack
Max MP
Charm")</f>
        <v>Attack
Max MP
Charm</v>
      </c>
      <c r="C110" s="30" t="str">
        <f>IFERROR(__xludf.DUMMYFUNCTION("""COMPUTED_VALUE"""),"42
5
10")</f>
        <v>42
5
10</v>
      </c>
      <c r="D110" s="30" t="str">
        <f>IFERROR(__xludf.DUMMYFUNCTION("""COMPUTED_VALUE"""),"45
6
11")</f>
        <v>45
6
11</v>
      </c>
      <c r="E110" s="30" t="str">
        <f>IFERROR(__xludf.DUMMYFUNCTION("""COMPUTED_VALUE"""),"48
7
12")</f>
        <v>48
7
12</v>
      </c>
      <c r="F110" s="30" t="str">
        <f>IFERROR(__xludf.DUMMYFUNCTION("""COMPUTED_VALUE"""),"51
8
13")</f>
        <v>51
8
13</v>
      </c>
      <c r="G110" s="30" t="str">
        <f>IFERROR(__xludf.DUMMYFUNCTION("""COMPUTED_VALUE"""),"--")</f>
        <v>--</v>
      </c>
      <c r="H110" s="42" t="str">
        <f>IFERROR(__xludf.DUMMYFUNCTION("""COMPUTED_VALUE"""),"Chest: Arborian Highlands
Rare: Gryphon")</f>
        <v>Chest: Arborian Highlands
Rare: Gryphon</v>
      </c>
      <c r="I110" s="45"/>
    </row>
    <row r="111">
      <c r="A111" s="41" t="str">
        <f>IFERROR(__xludf.DUMMYFUNCTION("""COMPUTED_VALUE"""),"Star Cross")</f>
        <v>Star Cross</v>
      </c>
      <c r="B111" s="31" t="str">
        <f>IFERROR(__xludf.DUMMYFUNCTION("""COMPUTED_VALUE"""),"Attack")</f>
        <v>Attack</v>
      </c>
      <c r="C111" s="31">
        <f>IFERROR(__xludf.DUMMYFUNCTION("""COMPUTED_VALUE"""),53.0)</f>
        <v>53</v>
      </c>
      <c r="D111" s="31">
        <f>IFERROR(__xludf.DUMMYFUNCTION("""COMPUTED_VALUE"""),55.0)</f>
        <v>55</v>
      </c>
      <c r="E111" s="31">
        <f>IFERROR(__xludf.DUMMYFUNCTION("""COMPUTED_VALUE"""),58.0)</f>
        <v>58</v>
      </c>
      <c r="F111" s="31">
        <f>IFERROR(__xludf.DUMMYFUNCTION("""COMPUTED_VALUE"""),61.0)</f>
        <v>61</v>
      </c>
      <c r="G111" s="31" t="str">
        <f>IFERROR(__xludf.DUMMYFUNCTION("""COMPUTED_VALUE"""),"Bonus damage to Undead (10%)")</f>
        <v>Bonus damage to Undead (10%)</v>
      </c>
      <c r="H111" s="41" t="str">
        <f>IFERROR(__xludf.DUMMYFUNCTION("""COMPUTED_VALUE"""),"Nautica, Sniflheim, Arboria: 11500")</f>
        <v>Nautica, Sniflheim, Arboria: 11500</v>
      </c>
      <c r="I111" s="46"/>
    </row>
    <row r="112">
      <c r="A112" s="42" t="str">
        <f>IFERROR(__xludf.DUMMYFUNCTION("""COMPUTED_VALUE"""),"Metal Goomerang")</f>
        <v>Metal Goomerang</v>
      </c>
      <c r="B112" s="30" t="str">
        <f>IFERROR(__xludf.DUMMYFUNCTION("""COMPUTED_VALUE"""),"Attack")</f>
        <v>Attack</v>
      </c>
      <c r="C112" s="30">
        <f>IFERROR(__xludf.DUMMYFUNCTION("""COMPUTED_VALUE"""),55.0)</f>
        <v>55</v>
      </c>
      <c r="D112" s="30">
        <f>IFERROR(__xludf.DUMMYFUNCTION("""COMPUTED_VALUE"""),58.0)</f>
        <v>58</v>
      </c>
      <c r="E112" s="30">
        <f>IFERROR(__xludf.DUMMYFUNCTION("""COMPUTED_VALUE"""),61.0)</f>
        <v>61</v>
      </c>
      <c r="F112" s="30">
        <f>IFERROR(__xludf.DUMMYFUNCTION("""COMPUTED_VALUE"""),64.0)</f>
        <v>64</v>
      </c>
      <c r="G112" s="30" t="str">
        <f>IFERROR(__xludf.DUMMYFUNCTION("""COMPUTED_VALUE"""),"+1 damage to Metals")</f>
        <v>+1 damage to Metals</v>
      </c>
      <c r="H112" s="42" t="str">
        <f>IFERROR(__xludf.DUMMYFUNCTION("""COMPUTED_VALUE"""),"Recipe: Things to Do with Metal Goo
Rare: Robo-Robin")</f>
        <v>Recipe: Things to Do with Metal Goo
Rare: Robo-Robin</v>
      </c>
      <c r="I112" s="42" t="str">
        <f>IFERROR(__xludf.DUMMYFUNCTION("""COMPUTED_VALUE"""),"Molten Globules: 1
Slimedrop: 1
Spellbound Bough: 2
Toad Oil: 2")</f>
        <v>Molten Globules: 1
Slimedrop: 1
Spellbound Bough: 2
Toad Oil: 2</v>
      </c>
    </row>
    <row r="113">
      <c r="A113" s="41" t="str">
        <f>IFERROR(__xludf.DUMMYFUNCTION("""COMPUTED_VALUE"""),"Pentarang")</f>
        <v>Pentarang</v>
      </c>
      <c r="B113" s="31" t="str">
        <f>IFERROR(__xludf.DUMMYFUNCTION("""COMPUTED_VALUE"""),"Attack")</f>
        <v>Attack</v>
      </c>
      <c r="C113" s="31">
        <f>IFERROR(__xludf.DUMMYFUNCTION("""COMPUTED_VALUE"""),61.0)</f>
        <v>61</v>
      </c>
      <c r="D113" s="31">
        <f>IFERROR(__xludf.DUMMYFUNCTION("""COMPUTED_VALUE"""),64.0)</f>
        <v>64</v>
      </c>
      <c r="E113" s="31">
        <f>IFERROR(__xludf.DUMMYFUNCTION("""COMPUTED_VALUE"""),67.0)</f>
        <v>67</v>
      </c>
      <c r="F113" s="31">
        <f>IFERROR(__xludf.DUMMYFUNCTION("""COMPUTED_VALUE"""),70.0)</f>
        <v>70</v>
      </c>
      <c r="G113" s="31" t="str">
        <f>IFERROR(__xludf.DUMMYFUNCTION("""COMPUTED_VALUE"""),"3% chance to confuse enemies
Bonus damage to Demon (20%)")</f>
        <v>3% chance to confuse enemies
Bonus damage to Demon (20%)</v>
      </c>
      <c r="H113" s="41" t="str">
        <f>IFERROR(__xludf.DUMMYFUNCTION("""COMPUTED_VALUE"""),"Quest: My Kingdom for Some Kanaloamari")</f>
        <v>Quest: My Kingdom for Some Kanaloamari</v>
      </c>
      <c r="I113" s="46"/>
    </row>
    <row r="114">
      <c r="A114" s="42" t="str">
        <f>IFERROR(__xludf.DUMMYFUNCTION("""COMPUTED_VALUE"""),"Flametang Boomerang")</f>
        <v>Flametang Boomerang</v>
      </c>
      <c r="B114" s="30" t="str">
        <f>IFERROR(__xludf.DUMMYFUNCTION("""COMPUTED_VALUE"""),"Attack")</f>
        <v>Attack</v>
      </c>
      <c r="C114" s="30">
        <f>IFERROR(__xludf.DUMMYFUNCTION("""COMPUTED_VALUE"""),63.0)</f>
        <v>63</v>
      </c>
      <c r="D114" s="30">
        <f>IFERROR(__xludf.DUMMYFUNCTION("""COMPUTED_VALUE"""),65.0)</f>
        <v>65</v>
      </c>
      <c r="E114" s="30">
        <f>IFERROR(__xludf.DUMMYFUNCTION("""COMPUTED_VALUE"""),68.0)</f>
        <v>68</v>
      </c>
      <c r="F114" s="30">
        <f>IFERROR(__xludf.DUMMYFUNCTION("""COMPUTED_VALUE"""),71.0)</f>
        <v>71</v>
      </c>
      <c r="G114" s="30" t="str">
        <f>IFERROR(__xludf.DUMMYFUNCTION("""COMPUTED_VALUE"""),"Will deal fire damage when attacking")</f>
        <v>Will deal fire damage when attacking</v>
      </c>
      <c r="H114" s="42" t="str">
        <f>IFERROR(__xludf.DUMMYFUNCTION("""COMPUTED_VALUE"""),"Hotto: 26000")</f>
        <v>Hotto: 26000</v>
      </c>
      <c r="I114" s="45"/>
    </row>
    <row r="115">
      <c r="A115" s="41" t="str">
        <f>IFERROR(__xludf.DUMMYFUNCTION("""COMPUTED_VALUE"""),"Liquid Metal Goomerang")</f>
        <v>Liquid Metal Goomerang</v>
      </c>
      <c r="B115" s="31" t="str">
        <f>IFERROR(__xludf.DUMMYFUNCTION("""COMPUTED_VALUE"""),"Attack")</f>
        <v>Attack</v>
      </c>
      <c r="C115" s="31">
        <f>IFERROR(__xludf.DUMMYFUNCTION("""COMPUTED_VALUE"""),74.0)</f>
        <v>74</v>
      </c>
      <c r="D115" s="31">
        <f>IFERROR(__xludf.DUMMYFUNCTION("""COMPUTED_VALUE"""),77.0)</f>
        <v>77</v>
      </c>
      <c r="E115" s="31">
        <f>IFERROR(__xludf.DUMMYFUNCTION("""COMPUTED_VALUE"""),80.0)</f>
        <v>80</v>
      </c>
      <c r="F115" s="31">
        <f>IFERROR(__xludf.DUMMYFUNCTION("""COMPUTED_VALUE"""),84.0)</f>
        <v>84</v>
      </c>
      <c r="G115" s="31" t="str">
        <f>IFERROR(__xludf.DUMMYFUNCTION("""COMPUTED_VALUE"""),"+1 damage to Metals")</f>
        <v>+1 damage to Metals</v>
      </c>
      <c r="H115" s="41" t="str">
        <f>IFERROR(__xludf.DUMMYFUNCTION("""COMPUTED_VALUE"""),"Recipe: In Fine Fettle With Liquid Mettle")</f>
        <v>Recipe: In Fine Fettle With Liquid Mettle</v>
      </c>
      <c r="I115" s="41" t="str">
        <f>IFERROR(__xludf.DUMMYFUNCTION("""COMPUTED_VALUE"""),"Molten Globules: 1
Goobricant: 1
Wyrmwood: 2
Densinium: 2")</f>
        <v>Molten Globules: 1
Goobricant: 1
Wyrmwood: 2
Densinium: 2</v>
      </c>
    </row>
    <row r="116">
      <c r="A116" s="42" t="str">
        <f>IFERROR(__xludf.DUMMYFUNCTION("""COMPUTED_VALUE"""),"Banefire Boomerang")</f>
        <v>Banefire Boomerang</v>
      </c>
      <c r="B116" s="30" t="str">
        <f>IFERROR(__xludf.DUMMYFUNCTION("""COMPUTED_VALUE"""),"Attack")</f>
        <v>Attack</v>
      </c>
      <c r="C116" s="30">
        <f>IFERROR(__xludf.DUMMYFUNCTION("""COMPUTED_VALUE"""),80.0)</f>
        <v>80</v>
      </c>
      <c r="D116" s="30">
        <f>IFERROR(__xludf.DUMMYFUNCTION("""COMPUTED_VALUE"""),85.0)</f>
        <v>85</v>
      </c>
      <c r="E116" s="30">
        <f>IFERROR(__xludf.DUMMYFUNCTION("""COMPUTED_VALUE"""),90.0)</f>
        <v>90</v>
      </c>
      <c r="F116" s="30">
        <f>IFERROR(__xludf.DUMMYFUNCTION("""COMPUTED_VALUE"""),95.0)</f>
        <v>95</v>
      </c>
      <c r="G116" s="30" t="str">
        <f>IFERROR(__xludf.DUMMYFUNCTION("""COMPUTED_VALUE"""),"Will deal fire damage when attacking")</f>
        <v>Will deal fire damage when attacking</v>
      </c>
      <c r="H116" s="42" t="str">
        <f>IFERROR(__xludf.DUMMYFUNCTION("""COMPUTED_VALUE"""),"Recipe: Sizzling Styles")</f>
        <v>Recipe: Sizzling Styles</v>
      </c>
      <c r="I116" s="42" t="str">
        <f>IFERROR(__xludf.DUMMYFUNCTION("""COMPUTED_VALUE"""),"Lava Lump: 3
Lamplight: 3
Royal Ruby: 1
Densinium: 1")</f>
        <v>Lava Lump: 3
Lamplight: 3
Royal Ruby: 1
Densinium: 1</v>
      </c>
    </row>
    <row r="117">
      <c r="A117" s="41" t="str">
        <f>IFERROR(__xludf.DUMMYFUNCTION("""COMPUTED_VALUE"""),"Dark Star")</f>
        <v>Dark Star</v>
      </c>
      <c r="B117" s="31" t="str">
        <f>IFERROR(__xludf.DUMMYFUNCTION("""COMPUTED_VALUE"""),"Attack
Agility")</f>
        <v>Attack
Agility</v>
      </c>
      <c r="C117" s="31" t="str">
        <f>IFERROR(__xludf.DUMMYFUNCTION("""COMPUTED_VALUE"""),"82
10")</f>
        <v>82
10</v>
      </c>
      <c r="D117" s="31" t="str">
        <f>IFERROR(__xludf.DUMMYFUNCTION("""COMPUTED_VALUE"""),"85
10")</f>
        <v>85
10</v>
      </c>
      <c r="E117" s="31" t="str">
        <f>IFERROR(__xludf.DUMMYFUNCTION("""COMPUTED_VALUE"""),"89
10")</f>
        <v>89
10</v>
      </c>
      <c r="F117" s="31" t="str">
        <f>IFERROR(__xludf.DUMMYFUNCTION("""COMPUTED_VALUE"""),"93
10")</f>
        <v>93
10</v>
      </c>
      <c r="G117" s="47" t="str">
        <f>IFERROR(__xludf.DUMMYFUNCTION("""COMPUTED_VALUE"""),"10% chance of Oomph when battle begins")</f>
        <v>10% chance of Oomph when battle begins</v>
      </c>
      <c r="H117" s="41" t="str">
        <f>IFERROR(__xludf.DUMMYFUNCTION("""COMPUTED_VALUE"""),"Trial Isle: 34500")</f>
        <v>Trial Isle: 34500</v>
      </c>
      <c r="I117" s="46"/>
    </row>
    <row r="118">
      <c r="A118" s="42" t="str">
        <f>IFERROR(__xludf.DUMMYFUNCTION("""COMPUTED_VALUE"""),"Hunter's Moon")</f>
        <v>Hunter's Moon</v>
      </c>
      <c r="B118" s="30" t="str">
        <f>IFERROR(__xludf.DUMMYFUNCTION("""COMPUTED_VALUE"""),"Attack
Charm")</f>
        <v>Attack
Charm</v>
      </c>
      <c r="C118" s="30" t="str">
        <f>IFERROR(__xludf.DUMMYFUNCTION("""COMPUTED_VALUE"""),"110
34")</f>
        <v>110
34</v>
      </c>
      <c r="D118" s="30" t="str">
        <f>IFERROR(__xludf.DUMMYFUNCTION("""COMPUTED_VALUE"""),"115
35")</f>
        <v>115
35</v>
      </c>
      <c r="E118" s="30" t="str">
        <f>IFERROR(__xludf.DUMMYFUNCTION("""COMPUTED_VALUE"""),"120
36")</f>
        <v>120
36</v>
      </c>
      <c r="F118" s="30" t="str">
        <f>IFERROR(__xludf.DUMMYFUNCTION("""COMPUTED_VALUE"""),"125
37")</f>
        <v>125
37</v>
      </c>
      <c r="G118" s="30" t="str">
        <f>IFERROR(__xludf.DUMMYFUNCTION("""COMPUTED_VALUE"""),"Full damage will be dealt to all enemies")</f>
        <v>Full damage will be dealt to all enemies</v>
      </c>
      <c r="H118" s="42" t="str">
        <f>IFERROR(__xludf.DUMMYFUNCTION("""COMPUTED_VALUE"""),"Recipe: Big Hitters of the Battlefield")</f>
        <v>Recipe: Big Hitters of the Battlefield</v>
      </c>
      <c r="I118" s="42" t="str">
        <f>IFERROR(__xludf.DUMMYFUNCTION("""COMPUTED_VALUE"""),"Gold Bar: 2
Lucida Shard: 3
Lunaria: 3
Royal Ruby: 2
Spectralite: 1")</f>
        <v>Gold Bar: 2
Lucida Shard: 3
Lunaria: 3
Royal Ruby: 2
Spectralite: 1</v>
      </c>
    </row>
    <row r="119">
      <c r="A119" s="41" t="str">
        <f>IFERROR(__xludf.DUMMYFUNCTION("""COMPUTED_VALUE"""),"Metal King Goomerang")</f>
        <v>Metal King Goomerang</v>
      </c>
      <c r="B119" s="31" t="str">
        <f>IFERROR(__xludf.DUMMYFUNCTION("""COMPUTED_VALUE"""),"Attack")</f>
        <v>Attack</v>
      </c>
      <c r="C119" s="31">
        <f>IFERROR(__xludf.DUMMYFUNCTION("""COMPUTED_VALUE"""),114.0)</f>
        <v>114</v>
      </c>
      <c r="D119" s="31">
        <f>IFERROR(__xludf.DUMMYFUNCTION("""COMPUTED_VALUE"""),119.0)</f>
        <v>119</v>
      </c>
      <c r="E119" s="31">
        <f>IFERROR(__xludf.DUMMYFUNCTION("""COMPUTED_VALUE"""),124.0)</f>
        <v>124</v>
      </c>
      <c r="F119" s="31">
        <f>IFERROR(__xludf.DUMMYFUNCTION("""COMPUTED_VALUE"""),129.0)</f>
        <v>129</v>
      </c>
      <c r="G119" s="31" t="str">
        <f>IFERROR(__xludf.DUMMYFUNCTION("""COMPUTED_VALUE"""),"+1 damage to Metals")</f>
        <v>+1 damage to Metals</v>
      </c>
      <c r="H119" s="41" t="str">
        <f>IFERROR(__xludf.DUMMYFUNCTION("""COMPUTED_VALUE"""),"Recipe: Making Things With Metal Kings")</f>
        <v>Recipe: Making Things With Metal Kings</v>
      </c>
      <c r="I119" s="41" t="str">
        <f>IFERROR(__xludf.DUMMYFUNCTION("""COMPUTED_VALUE"""),"Molten Globules: 1
Slime Crown: 1
Fire Ball: 1
Cumulonimbough: 2")</f>
        <v>Molten Globules: 1
Slime Crown: 1
Fire Ball: 1
Cumulonimbough: 2</v>
      </c>
    </row>
    <row r="120">
      <c r="A120" s="42" t="str">
        <f>IFERROR(__xludf.DUMMYFUNCTION("""COMPUTED_VALUE"""),"Meteorang")</f>
        <v>Meteorang</v>
      </c>
      <c r="B120" s="30" t="str">
        <f>IFERROR(__xludf.DUMMYFUNCTION("""COMPUTED_VALUE"""),"Attack
Charm")</f>
        <v>Attack
Charm</v>
      </c>
      <c r="C120" s="30" t="str">
        <f>IFERROR(__xludf.DUMMYFUNCTION("""COMPUTED_VALUE"""),"77
22")</f>
        <v>77
22</v>
      </c>
      <c r="D120" s="30" t="str">
        <f>IFERROR(__xludf.DUMMYFUNCTION("""COMPUTED_VALUE"""),"--")</f>
        <v>--</v>
      </c>
      <c r="E120" s="30" t="str">
        <f>IFERROR(__xludf.DUMMYFUNCTION("""COMPUTED_VALUE"""),"--")</f>
        <v>--</v>
      </c>
      <c r="F120" s="30" t="str">
        <f>IFERROR(__xludf.DUMMYFUNCTION("""COMPUTED_VALUE"""),"--")</f>
        <v>--</v>
      </c>
      <c r="G120" s="30" t="str">
        <f>IFERROR(__xludf.DUMMYFUNCTION("""COMPUTED_VALUE"""),"Will deal lightning damage when attacking")</f>
        <v>Will deal lightning damage when attacking</v>
      </c>
      <c r="H120" s="42" t="str">
        <f>IFERROR(__xludf.DUMMYFUNCTION("""COMPUTED_VALUE"""),"Chest: Manglegrove - Whale Way Station")</f>
        <v>Chest: Manglegrove - Whale Way Station</v>
      </c>
      <c r="I120" s="45"/>
    </row>
    <row r="121">
      <c r="A121" s="41" t="str">
        <f>IFERROR(__xludf.DUMMYFUNCTION("""COMPUTED_VALUE"""),"Asterang")</f>
        <v>Asterang</v>
      </c>
      <c r="B121" s="31" t="str">
        <f>IFERROR(__xludf.DUMMYFUNCTION("""COMPUTED_VALUE"""),"Attack
Charm")</f>
        <v>Attack
Charm</v>
      </c>
      <c r="C121" s="31" t="str">
        <f>IFERROR(__xludf.DUMMYFUNCTION("""COMPUTED_VALUE"""),"89
27")</f>
        <v>89
27</v>
      </c>
      <c r="D121" s="31" t="str">
        <f>IFERROR(__xludf.DUMMYFUNCTION("""COMPUTED_VALUE"""),"--")</f>
        <v>--</v>
      </c>
      <c r="E121" s="31" t="str">
        <f>IFERROR(__xludf.DUMMYFUNCTION("""COMPUTED_VALUE"""),"--")</f>
        <v>--</v>
      </c>
      <c r="F121" s="31" t="str">
        <f>IFERROR(__xludf.DUMMYFUNCTION("""COMPUTED_VALUE"""),"--")</f>
        <v>--</v>
      </c>
      <c r="G121" s="31" t="str">
        <f>IFERROR(__xludf.DUMMYFUNCTION("""COMPUTED_VALUE"""),"Will deal lightning damage when attacking")</f>
        <v>Will deal lightning damage when attacking</v>
      </c>
      <c r="H121" s="41" t="str">
        <f>IFERROR(__xludf.DUMMYFUNCTION("""COMPUTED_VALUE"""),"Recipe: A Hero's Book of Basic Weapons")</f>
        <v>Recipe: A Hero's Book of Basic Weapons</v>
      </c>
      <c r="I121" s="41" t="str">
        <f>IFERROR(__xludf.DUMMYFUNCTION("""COMPUTED_VALUE"""),"Meteorang: 1
Agate of Evolution: 1
Thunderball: 1
Lucida Shard: 1")</f>
        <v>Meteorang: 1
Agate of Evolution: 1
Thunderball: 1
Lucida Shard: 1</v>
      </c>
    </row>
    <row r="122">
      <c r="A122" s="42" t="str">
        <f>IFERROR(__xludf.DUMMYFUNCTION("""COMPUTED_VALUE"""),"Stellarang")</f>
        <v>Stellarang</v>
      </c>
      <c r="B122" s="30" t="str">
        <f>IFERROR(__xludf.DUMMYFUNCTION("""COMPUTED_VALUE"""),"Attack
Charm")</f>
        <v>Attack
Charm</v>
      </c>
      <c r="C122" s="30" t="str">
        <f>IFERROR(__xludf.DUMMYFUNCTION("""COMPUTED_VALUE"""),"105
31")</f>
        <v>105
31</v>
      </c>
      <c r="D122" s="30" t="str">
        <f>IFERROR(__xludf.DUMMYFUNCTION("""COMPUTED_VALUE"""),"--")</f>
        <v>--</v>
      </c>
      <c r="E122" s="30" t="str">
        <f>IFERROR(__xludf.DUMMYFUNCTION("""COMPUTED_VALUE"""),"--")</f>
        <v>--</v>
      </c>
      <c r="F122" s="30" t="str">
        <f>IFERROR(__xludf.DUMMYFUNCTION("""COMPUTED_VALUE"""),"--")</f>
        <v>--</v>
      </c>
      <c r="G122" s="30" t="str">
        <f>IFERROR(__xludf.DUMMYFUNCTION("""COMPUTED_VALUE"""),"Will deal lightning damage when attacking")</f>
        <v>Will deal lightning damage when attacking</v>
      </c>
      <c r="H122" s="42" t="str">
        <f>IFERROR(__xludf.DUMMYFUNCTION("""COMPUTED_VALUE"""),"Recipe: A Hero's Book of Better Weapons")</f>
        <v>Recipe: A Hero's Book of Better Weapons</v>
      </c>
      <c r="I122" s="42" t="str">
        <f>IFERROR(__xludf.DUMMYFUNCTION("""COMPUTED_VALUE"""),"Asterang: 1
Agate of Evolution: 2
Thunderball: 2
Lucida Shard: 2
Sunny Citrine: 1")</f>
        <v>Asterang: 1
Agate of Evolution: 2
Thunderball: 2
Lucida Shard: 2
Sunny Citrine: 1</v>
      </c>
    </row>
    <row r="123">
      <c r="A123" s="41" t="str">
        <f>IFERROR(__xludf.DUMMYFUNCTION("""COMPUTED_VALUE"""),"Galaxarang")</f>
        <v>Galaxarang</v>
      </c>
      <c r="B123" s="31" t="str">
        <f>IFERROR(__xludf.DUMMYFUNCTION("""COMPUTED_VALUE"""),"Attack
Charm")</f>
        <v>Attack
Charm</v>
      </c>
      <c r="C123" s="31" t="str">
        <f>IFERROR(__xludf.DUMMYFUNCTION("""COMPUTED_VALUE"""),"131
38")</f>
        <v>131
38</v>
      </c>
      <c r="D123" s="31" t="str">
        <f>IFERROR(__xludf.DUMMYFUNCTION("""COMPUTED_VALUE"""),"134
38")</f>
        <v>134
38</v>
      </c>
      <c r="E123" s="31" t="str">
        <f>IFERROR(__xludf.DUMMYFUNCTION("""COMPUTED_VALUE"""),"137
39")</f>
        <v>137
39</v>
      </c>
      <c r="F123" s="31" t="str">
        <f>IFERROR(__xludf.DUMMYFUNCTION("""COMPUTED_VALUE"""),"141
40")</f>
        <v>141
40</v>
      </c>
      <c r="G123" s="31" t="str">
        <f>IFERROR(__xludf.DUMMYFUNCTION("""COMPUTED_VALUE"""),"Will deal lightning damage when attacking")</f>
        <v>Will deal lightning damage when attacking</v>
      </c>
      <c r="H123" s="41" t="str">
        <f>IFERROR(__xludf.DUMMYFUNCTION("""COMPUTED_VALUE"""),"Recipe: A Hero's Book of Brilliant Weapons")</f>
        <v>Recipe: A Hero's Book of Brilliant Weapons</v>
      </c>
      <c r="I123" s="41" t="str">
        <f>IFERROR(__xludf.DUMMYFUNCTION("""COMPUTED_VALUE"""),"Stellarang: 1
Uber Agate of Evolution: 1
Thunderball: 3
Lucida Shard: 3
Black Tear: 1")</f>
        <v>Stellarang: 1
Uber Agate of Evolution: 1
Thunderball: 3
Lucida Shard: 3
Black Tear: 1</v>
      </c>
    </row>
    <row r="124">
      <c r="A124" s="40" t="str">
        <f>IFERROR(__xludf.DUMMYFUNCTION("""COMPUTED_VALUE"""),"Wands")</f>
        <v>Wands</v>
      </c>
      <c r="B124" s="7"/>
      <c r="C124" s="7"/>
      <c r="D124" s="7"/>
      <c r="E124" s="7"/>
      <c r="F124" s="7"/>
      <c r="G124" s="7"/>
      <c r="H124" s="7"/>
      <c r="I124" s="8"/>
    </row>
    <row r="125">
      <c r="A125" s="41" t="str">
        <f>IFERROR(__xludf.DUMMYFUNCTION("""COMPUTED_VALUE"""),"Serena's Wand")</f>
        <v>Serena's Wand</v>
      </c>
      <c r="B125" s="31" t="str">
        <f>IFERROR(__xludf.DUMMYFUNCTION("""COMPUTED_VALUE"""),"Magic Mend
Magic Might
Attack
Mp Absorb")</f>
        <v>Magic Mend
Magic Might
Attack
Mp Absorb</v>
      </c>
      <c r="C125" s="31" t="str">
        <f>IFERROR(__xludf.DUMMYFUNCTION("""COMPUTED_VALUE"""),"9
3
10
2")</f>
        <v>9
3
10
2</v>
      </c>
      <c r="D125" s="31" t="str">
        <f>IFERROR(__xludf.DUMMYFUNCTION("""COMPUTED_VALUE"""),"10
3
12
2")</f>
        <v>10
3
12
2</v>
      </c>
      <c r="E125" s="31" t="str">
        <f>IFERROR(__xludf.DUMMYFUNCTION("""COMPUTED_VALUE"""),"11
3
14
2")</f>
        <v>11
3
14
2</v>
      </c>
      <c r="F125" s="31" t="str">
        <f>IFERROR(__xludf.DUMMYFUNCTION("""COMPUTED_VALUE"""),"13
4
16
2")</f>
        <v>13
4
16
2</v>
      </c>
      <c r="G125" s="31" t="str">
        <f>IFERROR(__xludf.DUMMYFUNCTION("""COMPUTED_VALUE"""),"Will deal wind damage when attacking")</f>
        <v>Will deal wind damage when attacking</v>
      </c>
      <c r="H125" s="41" t="str">
        <f>IFERROR(__xludf.DUMMYFUNCTION("""COMPUTED_VALUE"""),"Story")</f>
        <v>Story</v>
      </c>
      <c r="I125" s="46"/>
    </row>
    <row r="126">
      <c r="A126" s="42" t="str">
        <f>IFERROR(__xludf.DUMMYFUNCTION("""COMPUTED_VALUE"""),"Posey Pole")</f>
        <v>Posey Pole</v>
      </c>
      <c r="B126" s="30" t="str">
        <f>IFERROR(__xludf.DUMMYFUNCTION("""COMPUTED_VALUE"""),"Magic Mend
Magic Might
Attack
Mp Absorb")</f>
        <v>Magic Mend
Magic Might
Attack
Mp Absorb</v>
      </c>
      <c r="C126" s="30" t="str">
        <f>IFERROR(__xludf.DUMMYFUNCTION("""COMPUTED_VALUE"""),"10
3
12
2")</f>
        <v>10
3
12
2</v>
      </c>
      <c r="D126" s="30" t="str">
        <f>IFERROR(__xludf.DUMMYFUNCTION("""COMPUTED_VALUE"""),"11
3
13
2")</f>
        <v>11
3
13
2</v>
      </c>
      <c r="E126" s="30" t="str">
        <f>IFERROR(__xludf.DUMMYFUNCTION("""COMPUTED_VALUE"""),"12
3
14
2")</f>
        <v>12
3
14
2</v>
      </c>
      <c r="F126" s="30" t="str">
        <f>IFERROR(__xludf.DUMMYFUNCTION("""COMPUTED_VALUE"""),"13
3
15
2")</f>
        <v>13
3
15
2</v>
      </c>
      <c r="G126" s="30" t="str">
        <f>IFERROR(__xludf.DUMMYFUNCTION("""COMPUTED_VALUE"""),"8% chance to beguile nature enemies")</f>
        <v>8% chance to beguile nature enemies</v>
      </c>
      <c r="H126" s="42" t="str">
        <f>IFERROR(__xludf.DUMMYFUNCTION("""COMPUTED_VALUE"""),"Gallopolis, Gondolia: 740")</f>
        <v>Gallopolis, Gondolia: 740</v>
      </c>
      <c r="I126" s="45"/>
    </row>
    <row r="127">
      <c r="A127" s="41" t="str">
        <f>IFERROR(__xludf.DUMMYFUNCTION("""COMPUTED_VALUE"""),"Lamp Post")</f>
        <v>Lamp Post</v>
      </c>
      <c r="B127" s="31" t="str">
        <f>IFERROR(__xludf.DUMMYFUNCTION("""COMPUTED_VALUE"""),"Magic Mend
Magic Might
Attack
Mp Absorb")</f>
        <v>Magic Mend
Magic Might
Attack
Mp Absorb</v>
      </c>
      <c r="C127" s="31" t="str">
        <f>IFERROR(__xludf.DUMMYFUNCTION("""COMPUTED_VALUE"""),"11
3
14
2")</f>
        <v>11
3
14
2</v>
      </c>
      <c r="D127" s="31" t="str">
        <f>IFERROR(__xludf.DUMMYFUNCTION("""COMPUTED_VALUE"""),"12
3
15
2")</f>
        <v>12
3
15
2</v>
      </c>
      <c r="E127" s="31" t="str">
        <f>IFERROR(__xludf.DUMMYFUNCTION("""COMPUTED_VALUE"""),"13
3
16
2")</f>
        <v>13
3
16
2</v>
      </c>
      <c r="F127" s="31" t="str">
        <f>IFERROR(__xludf.DUMMYFUNCTION("""COMPUTED_VALUE"""),"14
4
17
2")</f>
        <v>14
4
17
2</v>
      </c>
      <c r="G127" s="31" t="str">
        <f>IFERROR(__xludf.DUMMYFUNCTION("""COMPUTED_VALUE"""),"--")</f>
        <v>--</v>
      </c>
      <c r="H127" s="9" t="str">
        <f>IFERROR(__xludf.DUMMYFUNCTION("""COMPUTED_VALUE"""),"Recipe: So You Want to Be a Witch")</f>
        <v>Recipe: So You Want to Be a Witch</v>
      </c>
      <c r="I127" s="41" t="str">
        <f>IFERROR(__xludf.DUMMYFUNCTION("""COMPUTED_VALUE"""),"Beast Bone: 1
Lamplight: 1")</f>
        <v>Beast Bone: 1
Lamplight: 1</v>
      </c>
    </row>
    <row r="128">
      <c r="A128" s="42" t="str">
        <f>IFERROR(__xludf.DUMMYFUNCTION("""COMPUTED_VALUE"""),"Pixie Pole")</f>
        <v>Pixie Pole</v>
      </c>
      <c r="B128" s="30" t="str">
        <f>IFERROR(__xludf.DUMMYFUNCTION("""COMPUTED_VALUE"""),"Magic Mend
Magic Might
Attack
Mp Absorb")</f>
        <v>Magic Mend
Magic Might
Attack
Mp Absorb</v>
      </c>
      <c r="C128" s="30" t="str">
        <f>IFERROR(__xludf.DUMMYFUNCTION("""COMPUTED_VALUE"""),"12
3
15
2")</f>
        <v>12
3
15
2</v>
      </c>
      <c r="D128" s="30" t="str">
        <f>IFERROR(__xludf.DUMMYFUNCTION("""COMPUTED_VALUE"""),"13
3
16
2")</f>
        <v>13
3
16
2</v>
      </c>
      <c r="E128" s="30" t="str">
        <f>IFERROR(__xludf.DUMMYFUNCTION("""COMPUTED_VALUE"""),"14
4
17
2")</f>
        <v>14
4
17
2</v>
      </c>
      <c r="F128" s="30" t="str">
        <f>IFERROR(__xludf.DUMMYFUNCTION("""COMPUTED_VALUE"""),"15
4
18
3")</f>
        <v>15
4
18
3</v>
      </c>
      <c r="G128" s="30" t="str">
        <f>IFERROR(__xludf.DUMMYFUNCTION("""COMPUTED_VALUE"""),"8% chance to beguile nature enemies
(2/2/2/3) MP/Turn")</f>
        <v>8% chance to beguile nature enemies
(2/2/2/3) MP/Turn</v>
      </c>
      <c r="H128" s="42" t="str">
        <f>IFERROR(__xludf.DUMMYFUNCTION("""COMPUTED_VALUE"""),"Chest: Grotta della Fonte")</f>
        <v>Chest: Grotta della Fonte</v>
      </c>
      <c r="I128" s="45"/>
    </row>
    <row r="129">
      <c r="A129" s="41" t="str">
        <f>IFERROR(__xludf.DUMMYFUNCTION("""COMPUTED_VALUE"""),"Lolly Stick")</f>
        <v>Lolly Stick</v>
      </c>
      <c r="B129" s="31" t="str">
        <f>IFERROR(__xludf.DUMMYFUNCTION("""COMPUTED_VALUE"""),"Magic Mend
Magic Might
Attack
Mp Absorb")</f>
        <v>Magic Mend
Magic Might
Attack
Mp Absorb</v>
      </c>
      <c r="C129" s="31" t="str">
        <f>IFERROR(__xludf.DUMMYFUNCTION("""COMPUTED_VALUE"""),"13
4
16
2")</f>
        <v>13
4
16
2</v>
      </c>
      <c r="D129" s="31" t="str">
        <f>IFERROR(__xludf.DUMMYFUNCTION("""COMPUTED_VALUE"""),"14
4
17
3")</f>
        <v>14
4
17
3</v>
      </c>
      <c r="E129" s="31" t="str">
        <f>IFERROR(__xludf.DUMMYFUNCTION("""COMPUTED_VALUE"""),"15
4
18
3")</f>
        <v>15
4
18
3</v>
      </c>
      <c r="F129" s="31" t="str">
        <f>IFERROR(__xludf.DUMMYFUNCTION("""COMPUTED_VALUE"""),"16
4
19
3")</f>
        <v>16
4
19
3</v>
      </c>
      <c r="G129" s="31" t="str">
        <f>IFERROR(__xludf.DUMMYFUNCTION("""COMPUTED_VALUE"""),"8% chance to confuse enemies")</f>
        <v>8% chance to confuse enemies</v>
      </c>
      <c r="H129" s="41" t="str">
        <f>IFERROR(__xludf.DUMMYFUNCTION("""COMPUTED_VALUE"""),"Octagonia, Costa Valor, Puerto Valor: 980")</f>
        <v>Octagonia, Costa Valor, Puerto Valor: 980</v>
      </c>
      <c r="I129" s="46"/>
    </row>
    <row r="130">
      <c r="A130" s="42" t="str">
        <f>IFERROR(__xludf.DUMMYFUNCTION("""COMPUTED_VALUE"""),"Jolly Brolly")</f>
        <v>Jolly Brolly</v>
      </c>
      <c r="B130" s="30" t="str">
        <f>IFERROR(__xludf.DUMMYFUNCTION("""COMPUTED_VALUE"""),"Magic Mend
Magic Might
Attack
Mp Absorb")</f>
        <v>Magic Mend
Magic Might
Attack
Mp Absorb</v>
      </c>
      <c r="C130" s="30" t="str">
        <f>IFERROR(__xludf.DUMMYFUNCTION("""COMPUTED_VALUE"""),"15
4
18
3")</f>
        <v>15
4
18
3</v>
      </c>
      <c r="D130" s="30" t="str">
        <f>IFERROR(__xludf.DUMMYFUNCTION("""COMPUTED_VALUE"""),"16
4
19
3")</f>
        <v>16
4
19
3</v>
      </c>
      <c r="E130" s="30" t="str">
        <f>IFERROR(__xludf.DUMMYFUNCTION("""COMPUTED_VALUE"""),"18
5
21
3")</f>
        <v>18
5
21
3</v>
      </c>
      <c r="F130" s="30" t="str">
        <f>IFERROR(__xludf.DUMMYFUNCTION("""COMPUTED_VALUE"""),"20
5
23
3")</f>
        <v>20
5
23
3</v>
      </c>
      <c r="G130" s="30" t="str">
        <f>IFERROR(__xludf.DUMMYFUNCTION("""COMPUTED_VALUE"""),"--")</f>
        <v>--</v>
      </c>
      <c r="H130" s="42" t="str">
        <f>IFERROR(__xludf.DUMMYFUNCTION("""COMPUTED_VALUE"""),"Recipe: Your Crafting Career Starts Here
Rare: Brollyminator, Brollygagger")</f>
        <v>Recipe: Your Crafting Career Starts Here
Rare: Brollyminator, Brollygagger</v>
      </c>
      <c r="I130" s="42" t="str">
        <f>IFERROR(__xludf.DUMMYFUNCTION("""COMPUTED_VALUE"""),"Witherwood: 2
Waveweed: 1
Sparkly Sap: 1")</f>
        <v>Witherwood: 2
Waveweed: 1
Sparkly Sap: 1</v>
      </c>
    </row>
    <row r="131">
      <c r="A131" s="41" t="str">
        <f>IFERROR(__xludf.DUMMYFUNCTION("""COMPUTED_VALUE"""),"Wyvern Wand")</f>
        <v>Wyvern Wand</v>
      </c>
      <c r="B131" s="31" t="str">
        <f>IFERROR(__xludf.DUMMYFUNCTION("""COMPUTED_VALUE"""),"Magic Mend
Magic Might
Attack
Mp Absorb")</f>
        <v>Magic Mend
Magic Might
Attack
Mp Absorb</v>
      </c>
      <c r="C131" s="31" t="str">
        <f>IFERROR(__xludf.DUMMYFUNCTION("""COMPUTED_VALUE"""),"18
5
22
3")</f>
        <v>18
5
22
3</v>
      </c>
      <c r="D131" s="31" t="str">
        <f>IFERROR(__xludf.DUMMYFUNCTION("""COMPUTED_VALUE"""),"19
5
23
3")</f>
        <v>19
5
23
3</v>
      </c>
      <c r="E131" s="31" t="str">
        <f>IFERROR(__xludf.DUMMYFUNCTION("""COMPUTED_VALUE"""),"20
6
24
3")</f>
        <v>20
6
24
3</v>
      </c>
      <c r="F131" s="31" t="str">
        <f>IFERROR(__xludf.DUMMYFUNCTION("""COMPUTED_VALUE"""),"22
6
26
4")</f>
        <v>22
6
26
4</v>
      </c>
      <c r="G131" s="31" t="str">
        <f>IFERROR(__xludf.DUMMYFUNCTION("""COMPUTED_VALUE"""),"MP Stolen from dragon +2%")</f>
        <v>MP Stolen from dragon +2%</v>
      </c>
      <c r="H131" s="41" t="str">
        <f>IFERROR(__xludf.DUMMYFUNCTION("""COMPUTED_VALUE"""),"Lonalulu: 2400
Recipe: Dragony Designs")</f>
        <v>Lonalulu: 2400
Recipe: Dragony Designs</v>
      </c>
      <c r="I131" s="41" t="str">
        <f>IFERROR(__xludf.DUMMYFUNCTION("""COMPUTED_VALUE"""),"Pink Pink: 2
Dragon Hide: 1
Blue Eye: 1")</f>
        <v>Pink Pink: 2
Dragon Hide: 1
Blue Eye: 1</v>
      </c>
    </row>
    <row r="132">
      <c r="A132" s="42" t="str">
        <f>IFERROR(__xludf.DUMMYFUNCTION("""COMPUTED_VALUE"""),"Spryggrasil")</f>
        <v>Spryggrasil</v>
      </c>
      <c r="B132" s="30" t="str">
        <f>IFERROR(__xludf.DUMMYFUNCTION("""COMPUTED_VALUE"""),"Magic Mend
Magic Might
Attack
Mp Absorb")</f>
        <v>Magic Mend
Magic Might
Attack
Mp Absorb</v>
      </c>
      <c r="C132" s="30" t="str">
        <f>IFERROR(__xludf.DUMMYFUNCTION("""COMPUTED_VALUE"""),"20
6
25
3")</f>
        <v>20
6
25
3</v>
      </c>
      <c r="D132" s="30" t="str">
        <f>IFERROR(__xludf.DUMMYFUNCTION("""COMPUTED_VALUE"""),"22
6
26
4")</f>
        <v>22
6
26
4</v>
      </c>
      <c r="E132" s="30" t="str">
        <f>IFERROR(__xludf.DUMMYFUNCTION("""COMPUTED_VALUE"""),"24
6
28
4")</f>
        <v>24
6
28
4</v>
      </c>
      <c r="F132" s="30" t="str">
        <f>IFERROR(__xludf.DUMMYFUNCTION("""COMPUTED_VALUE"""),"26
7
30
4")</f>
        <v>26
7
30
4</v>
      </c>
      <c r="G132" s="30" t="str">
        <f>IFERROR(__xludf.DUMMYFUNCTION("""COMPUTED_VALUE"""),"8% chance to beguile nature enemies")</f>
        <v>8% chance to beguile nature enemies</v>
      </c>
      <c r="H132" s="42" t="str">
        <f>IFERROR(__xludf.DUMMYFUNCTION("""COMPUTED_VALUE"""),"Sniflheim: 3200")</f>
        <v>Sniflheim: 3200</v>
      </c>
      <c r="I132" s="45"/>
    </row>
    <row r="133">
      <c r="A133" s="41" t="str">
        <f>IFERROR(__xludf.DUMMYFUNCTION("""COMPUTED_VALUE"""),"Seraphic Sceptre")</f>
        <v>Seraphic Sceptre</v>
      </c>
      <c r="B133" s="31" t="str">
        <f>IFERROR(__xludf.DUMMYFUNCTION("""COMPUTED_VALUE"""),"Magic Mend
Magic Might
Attack
Mp Absorb")</f>
        <v>Magic Mend
Magic Might
Attack
Mp Absorb</v>
      </c>
      <c r="C133" s="31" t="str">
        <f>IFERROR(__xludf.DUMMYFUNCTION("""COMPUTED_VALUE"""),"23
6
27
4")</f>
        <v>23
6
27
4</v>
      </c>
      <c r="D133" s="31" t="str">
        <f>IFERROR(__xludf.DUMMYFUNCTION("""COMPUTED_VALUE"""),"25
7
28
4")</f>
        <v>25
7
28
4</v>
      </c>
      <c r="E133" s="31" t="str">
        <f>IFERROR(__xludf.DUMMYFUNCTION("""COMPUTED_VALUE"""),"27
7
30
4")</f>
        <v>27
7
30
4</v>
      </c>
      <c r="F133" s="31" t="str">
        <f>IFERROR(__xludf.DUMMYFUNCTION("""COMPUTED_VALUE"""),"30
8
32
4")</f>
        <v>30
8
32
4</v>
      </c>
      <c r="G133" s="31" t="str">
        <f>IFERROR(__xludf.DUMMYFUNCTION("""COMPUTED_VALUE"""),"--")</f>
        <v>--</v>
      </c>
      <c r="H133" s="41" t="str">
        <f>IFERROR(__xludf.DUMMYFUNCTION("""COMPUTED_VALUE"""),"Recipe: Divine Designs")</f>
        <v>Recipe: Divine Designs</v>
      </c>
      <c r="I133" s="41" t="str">
        <f>IFERROR(__xludf.DUMMYFUNCTION("""COMPUTED_VALUE"""),"Pink Pine: 2
Angel Bell: 3
Yellow Eye: 1")</f>
        <v>Pink Pine: 2
Angel Bell: 3
Yellow Eye: 1</v>
      </c>
    </row>
    <row r="134">
      <c r="A134" s="42" t="str">
        <f>IFERROR(__xludf.DUMMYFUNCTION("""COMPUTED_VALUE"""),"Butterfly Baton")</f>
        <v>Butterfly Baton</v>
      </c>
      <c r="B134" s="30" t="str">
        <f>IFERROR(__xludf.DUMMYFUNCTION("""COMPUTED_VALUE"""),"Magic Mend
Magic Might
Attack
Mp Absorb")</f>
        <v>Magic Mend
Magic Might
Attack
Mp Absorb</v>
      </c>
      <c r="C134" s="30" t="str">
        <f>IFERROR(__xludf.DUMMYFUNCTION("""COMPUTED_VALUE"""),"30
8
33
4")</f>
        <v>30
8
33
4</v>
      </c>
      <c r="D134" s="30" t="str">
        <f>IFERROR(__xludf.DUMMYFUNCTION("""COMPUTED_VALUE"""),"32
9
36
4")</f>
        <v>32
9
36
4</v>
      </c>
      <c r="E134" s="30" t="str">
        <f>IFERROR(__xludf.DUMMYFUNCTION("""COMPUTED_VALUE"""),"34
9
36
4")</f>
        <v>34
9
36
4</v>
      </c>
      <c r="F134" s="30" t="str">
        <f>IFERROR(__xludf.DUMMYFUNCTION("""COMPUTED_VALUE"""),"36
10
38
4")</f>
        <v>36
10
38
4</v>
      </c>
      <c r="G134" s="30" t="str">
        <f>IFERROR(__xludf.DUMMYFUNCTION("""COMPUTED_VALUE"""),"8% chance to beguile nature enemies")</f>
        <v>8% chance to beguile nature enemies</v>
      </c>
      <c r="H134" s="42" t="str">
        <f>IFERROR(__xludf.DUMMYFUNCTION("""COMPUTED_VALUE"""),"Quest: Fit as a Fiddle")</f>
        <v>Quest: Fit as a Fiddle</v>
      </c>
      <c r="I134" s="45"/>
    </row>
    <row r="135">
      <c r="A135" s="41" t="str">
        <f>IFERROR(__xludf.DUMMYFUNCTION("""COMPUTED_VALUE"""),"Glow Stick")</f>
        <v>Glow Stick</v>
      </c>
      <c r="B135" s="31" t="str">
        <f>IFERROR(__xludf.DUMMYFUNCTION("""COMPUTED_VALUE"""),"Magic Mend
Magic Might
Attack
Mp Absorb")</f>
        <v>Magic Mend
Magic Might
Attack
Mp Absorb</v>
      </c>
      <c r="C135" s="31" t="str">
        <f>IFERROR(__xludf.DUMMYFUNCTION("""COMPUTED_VALUE"""),"33
9
36
4")</f>
        <v>33
9
36
4</v>
      </c>
      <c r="D135" s="31" t="str">
        <f>IFERROR(__xludf.DUMMYFUNCTION("""COMPUTED_VALUE"""),"35
9
37
4")</f>
        <v>35
9
37
4</v>
      </c>
      <c r="E135" s="31" t="str">
        <f>IFERROR(__xludf.DUMMYFUNCTION("""COMPUTED_VALUE"""),"37
10
39
4")</f>
        <v>37
10
39
4</v>
      </c>
      <c r="F135" s="31" t="str">
        <f>IFERROR(__xludf.DUMMYFUNCTION("""COMPUTED_VALUE"""),"39
10
41
4")</f>
        <v>39
10
41
4</v>
      </c>
      <c r="G135" s="31" t="str">
        <f>IFERROR(__xludf.DUMMYFUNCTION("""COMPUTED_VALUE"""),"Will deal light damage when attacking")</f>
        <v>Will deal light damage when attacking</v>
      </c>
      <c r="H135" s="41" t="str">
        <f>IFERROR(__xludf.DUMMYFUNCTION("""COMPUTED_VALUE"""),"Arboria: 5600")</f>
        <v>Arboria: 5600</v>
      </c>
      <c r="I135" s="46"/>
    </row>
    <row r="136">
      <c r="A136" s="42" t="str">
        <f>IFERROR(__xludf.DUMMYFUNCTION("""COMPUTED_VALUE"""),"Glumbrella")</f>
        <v>Glumbrella</v>
      </c>
      <c r="B136" s="30" t="str">
        <f>IFERROR(__xludf.DUMMYFUNCTION("""COMPUTED_VALUE"""),"Magic Mend
Magic Might
Attack
Mp Absorb")</f>
        <v>Magic Mend
Magic Might
Attack
Mp Absorb</v>
      </c>
      <c r="C136" s="30" t="str">
        <f>IFERROR(__xludf.DUMMYFUNCTION("""COMPUTED_VALUE"""),"41
11
42
4")</f>
        <v>41
11
42
4</v>
      </c>
      <c r="D136" s="30" t="str">
        <f>IFERROR(__xludf.DUMMYFUNCTION("""COMPUTED_VALUE"""),"43
11
43
5")</f>
        <v>43
11
43
5</v>
      </c>
      <c r="E136" s="30" t="str">
        <f>IFERROR(__xludf.DUMMYFUNCTION("""COMPUTED_VALUE"""),"45
12
45
5")</f>
        <v>45
12
45
5</v>
      </c>
      <c r="F136" s="30" t="str">
        <f>IFERROR(__xludf.DUMMYFUNCTION("""COMPUTED_VALUE"""),"47
12
47
5")</f>
        <v>47
12
47
5</v>
      </c>
      <c r="G136" s="30" t="str">
        <f>IFERROR(__xludf.DUMMYFUNCTION("""COMPUTED_VALUE"""),"--")</f>
        <v>--</v>
      </c>
      <c r="H136" s="42" t="str">
        <f>IFERROR(__xludf.DUMMYFUNCTION("""COMPUTED_VALUE"""),"Gondolia: 8800
Rare: Brollygarch")</f>
        <v>Gondolia: 8800
Rare: Brollygarch</v>
      </c>
      <c r="I136" s="45"/>
    </row>
    <row r="137">
      <c r="A137" s="41" t="str">
        <f>IFERROR(__xludf.DUMMYFUNCTION("""COMPUTED_VALUE"""),"Red Dragon Rod")</f>
        <v>Red Dragon Rod</v>
      </c>
      <c r="B137" s="31" t="str">
        <f>IFERROR(__xludf.DUMMYFUNCTION("""COMPUTED_VALUE"""),"Magic Mend
Magic Might
Attack
Mp Absorb")</f>
        <v>Magic Mend
Magic Might
Attack
Mp Absorb</v>
      </c>
      <c r="C137" s="31" t="str">
        <f>IFERROR(__xludf.DUMMYFUNCTION("""COMPUTED_VALUE"""),"44
11
44
5")</f>
        <v>44
11
44
5</v>
      </c>
      <c r="D137" s="31" t="str">
        <f>IFERROR(__xludf.DUMMYFUNCTION("""COMPUTED_VALUE"""),"46
12
45
5")</f>
        <v>46
12
45
5</v>
      </c>
      <c r="E137" s="31" t="str">
        <f>IFERROR(__xludf.DUMMYFUNCTION("""COMPUTED_VALUE"""),"48
12
47
5")</f>
        <v>48
12
47
5</v>
      </c>
      <c r="F137" s="31" t="str">
        <f>IFERROR(__xludf.DUMMYFUNCTION("""COMPUTED_VALUE"""),"50
13
49
5")</f>
        <v>50
13
49
5</v>
      </c>
      <c r="G137" s="31" t="str">
        <f>IFERROR(__xludf.DUMMYFUNCTION("""COMPUTED_VALUE"""),"MP Stolen from dragon +2%
Will deal fire damage when attacking")</f>
        <v>MP Stolen from dragon +2%
Will deal fire damage when attacking</v>
      </c>
      <c r="H137" s="41" t="str">
        <f>IFERROR(__xludf.DUMMYFUNCTION("""COMPUTED_VALUE"""),"Hotto: 10800
Recipe: Even More Dragony Designs")</f>
        <v>Hotto: 10800
Recipe: Even More Dragony Designs</v>
      </c>
      <c r="I137" s="41" t="str">
        <f>IFERROR(__xludf.DUMMYFUNCTION("""COMPUTED_VALUE"""),"Fire Wood: 2
Dragon Hide: 2
Royal Ruby: 1
Lava Lump: 2")</f>
        <v>Fire Wood: 2
Dragon Hide: 2
Royal Ruby: 1
Lava Lump: 2</v>
      </c>
    </row>
    <row r="138">
      <c r="A138" s="42" t="str">
        <f>IFERROR(__xludf.DUMMYFUNCTION("""COMPUTED_VALUE"""),"Bonbon Baton")</f>
        <v>Bonbon Baton</v>
      </c>
      <c r="B138" s="30" t="str">
        <f>IFERROR(__xludf.DUMMYFUNCTION("""COMPUTED_VALUE"""),"Magic Mend
Magic Might
Attack
Mp Absorb")</f>
        <v>Magic Mend
Magic Might
Attack
Mp Absorb</v>
      </c>
      <c r="C138" s="30" t="str">
        <f>IFERROR(__xludf.DUMMYFUNCTION("""COMPUTED_VALUE"""),"47
12
47
5")</f>
        <v>47
12
47
5</v>
      </c>
      <c r="D138" s="30" t="str">
        <f>IFERROR(__xludf.DUMMYFUNCTION("""COMPUTED_VALUE"""),"49
13
49
5")</f>
        <v>49
13
49
5</v>
      </c>
      <c r="E138" s="30" t="str">
        <f>IFERROR(__xludf.DUMMYFUNCTION("""COMPUTED_VALUE"""),"51
13
51
5")</f>
        <v>51
13
51
5</v>
      </c>
      <c r="F138" s="30" t="str">
        <f>IFERROR(__xludf.DUMMYFUNCTION("""COMPUTED_VALUE"""),"53
14
53
6")</f>
        <v>53
14
53
6</v>
      </c>
      <c r="G138" s="30" t="str">
        <f>IFERROR(__xludf.DUMMYFUNCTION("""COMPUTED_VALUE"""),"Chance to consume no MP (4/5/6/8%)
8% chance to confuse enemies")</f>
        <v>Chance to consume no MP (4/5/6/8%)
8% chance to confuse enemies</v>
      </c>
      <c r="H138" s="42" t="str">
        <f>IFERROR(__xludf.DUMMYFUNCTION("""COMPUTED_VALUE"""),"Wheel of Harma: Third Trial (25 Moves)")</f>
        <v>Wheel of Harma: Third Trial (25 Moves)</v>
      </c>
      <c r="I138" s="45"/>
    </row>
    <row r="139">
      <c r="A139" s="41" t="str">
        <f>IFERROR(__xludf.DUMMYFUNCTION("""COMPUTED_VALUE"""),"Fantastick")</f>
        <v>Fantastick</v>
      </c>
      <c r="B139" s="31" t="str">
        <f>IFERROR(__xludf.DUMMYFUNCTION("""COMPUTED_VALUE"""),"Magic Mend
Magic Might
Attack
Mp Absorb")</f>
        <v>Magic Mend
Magic Might
Attack
Mp Absorb</v>
      </c>
      <c r="C139" s="31" t="str">
        <f>IFERROR(__xludf.DUMMYFUNCTION("""COMPUTED_VALUE"""),"54
14
54
6")</f>
        <v>54
14
54
6</v>
      </c>
      <c r="D139" s="31" t="str">
        <f>IFERROR(__xludf.DUMMYFUNCTION("""COMPUTED_VALUE"""),"56
14
57
6")</f>
        <v>56
14
57
6</v>
      </c>
      <c r="E139" s="31" t="str">
        <f>IFERROR(__xludf.DUMMYFUNCTION("""COMPUTED_VALUE"""),"58
15
61
6")</f>
        <v>58
15
61
6</v>
      </c>
      <c r="F139" s="31" t="str">
        <f>IFERROR(__xludf.DUMMYFUNCTION("""COMPUTED_VALUE"""),"60
16
65
6")</f>
        <v>60
16
65
6</v>
      </c>
      <c r="G139" s="31" t="str">
        <f>IFERROR(__xludf.DUMMYFUNCTION("""COMPUTED_VALUE"""),"Snap, Crackle, Poof at start (50/60/80/100%)")</f>
        <v>Snap, Crackle, Poof at start (50/60/80/100%)</v>
      </c>
      <c r="H139" s="41" t="str">
        <f>IFERROR(__xludf.DUMMYFUNCTION("""COMPUTED_VALUE"""),"Quest: Mister Vista")</f>
        <v>Quest: Mister Vista</v>
      </c>
      <c r="I139" s="46"/>
    </row>
    <row r="140">
      <c r="A140" s="42" t="str">
        <f>IFERROR(__xludf.DUMMYFUNCTION("""COMPUTED_VALUE"""),"Seraph's Stick")</f>
        <v>Seraph's Stick</v>
      </c>
      <c r="B140" s="30" t="str">
        <f>IFERROR(__xludf.DUMMYFUNCTION("""COMPUTED_VALUE"""),"Magic Mend
Magic Might
Attack
Mp Absorb")</f>
        <v>Magic Mend
Magic Might
Attack
Mp Absorb</v>
      </c>
      <c r="C140" s="30" t="str">
        <f>IFERROR(__xludf.DUMMYFUNCTION("""COMPUTED_VALUE"""),"54
14
53
6")</f>
        <v>54
14
53
6</v>
      </c>
      <c r="D140" s="30" t="str">
        <f>IFERROR(__xludf.DUMMYFUNCTION("""COMPUTED_VALUE"""),"55
14
56
6")</f>
        <v>55
14
56
6</v>
      </c>
      <c r="E140" s="30" t="str">
        <f>IFERROR(__xludf.DUMMYFUNCTION("""COMPUTED_VALUE"""),"57
15
60
6")</f>
        <v>57
15
60
6</v>
      </c>
      <c r="F140" s="30" t="str">
        <f>IFERROR(__xludf.DUMMYFUNCTION("""COMPUTED_VALUE"""),"59
16
64
6")</f>
        <v>59
16
64
6</v>
      </c>
      <c r="G140" s="30" t="str">
        <f>IFERROR(__xludf.DUMMYFUNCTION("""COMPUTED_VALUE"""),"Will deal lightning damage when attacking")</f>
        <v>Will deal lightning damage when attacking</v>
      </c>
      <c r="H140" s="42" t="str">
        <f>IFERROR(__xludf.DUMMYFUNCTION("""COMPUTED_VALUE"""),"Havens Above, Trial Isle: 13000")</f>
        <v>Havens Above, Trial Isle: 13000</v>
      </c>
      <c r="I140" s="45"/>
    </row>
    <row r="141">
      <c r="A141" s="41" t="str">
        <f>IFERROR(__xludf.DUMMYFUNCTION("""COMPUTED_VALUE"""),"Get-up-and-Glow Stick")</f>
        <v>Get-up-and-Glow Stick</v>
      </c>
      <c r="B141" s="31" t="str">
        <f>IFERROR(__xludf.DUMMYFUNCTION("""COMPUTED_VALUE"""),"Magic Mend
Magic Might
Attack
Mp Absorb")</f>
        <v>Magic Mend
Magic Might
Attack
Mp Absorb</v>
      </c>
      <c r="C141" s="31" t="str">
        <f>IFERROR(__xludf.DUMMYFUNCTION("""COMPUTED_VALUE"""),"60
16
65
6")</f>
        <v>60
16
65
6</v>
      </c>
      <c r="D141" s="31" t="str">
        <f>IFERROR(__xludf.DUMMYFUNCTION("""COMPUTED_VALUE"""),"61
16
68
6")</f>
        <v>61
16
68
6</v>
      </c>
      <c r="E141" s="31" t="str">
        <f>IFERROR(__xludf.DUMMYFUNCTION("""COMPUTED_VALUE"""),"63
17
71
6")</f>
        <v>63
17
71
6</v>
      </c>
      <c r="F141" s="31" t="str">
        <f>IFERROR(__xludf.DUMMYFUNCTION("""COMPUTED_VALUE"""),"65
17
75
7")</f>
        <v>65
17
75
7</v>
      </c>
      <c r="G141" s="31" t="str">
        <f>IFERROR(__xludf.DUMMYFUNCTION("""COMPUTED_VALUE"""),"Will deal light damage when attacking")</f>
        <v>Will deal light damage when attacking</v>
      </c>
      <c r="H141" s="41" t="str">
        <f>IFERROR(__xludf.DUMMYFUNCTION("""COMPUTED_VALUE"""),"Rare: Grey Gordon")</f>
        <v>Rare: Grey Gordon</v>
      </c>
      <c r="I141" s="46"/>
    </row>
    <row r="142">
      <c r="A142" s="42" t="str">
        <f>IFERROR(__xludf.DUMMYFUNCTION("""COMPUTED_VALUE"""),"Cane of Compassion")</f>
        <v>Cane of Compassion</v>
      </c>
      <c r="B142" s="30" t="str">
        <f>IFERROR(__xludf.DUMMYFUNCTION("""COMPUTED_VALUE"""),"Magic Mend
Magic Might
Attack
Mp Absorb")</f>
        <v>Magic Mend
Magic Might
Attack
Mp Absorb</v>
      </c>
      <c r="C142" s="30" t="str">
        <f>IFERROR(__xludf.DUMMYFUNCTION("""COMPUTED_VALUE"""),"63
17
76
7")</f>
        <v>63
17
76
7</v>
      </c>
      <c r="D142" s="30" t="str">
        <f>IFERROR(__xludf.DUMMYFUNCTION("""COMPUTED_VALUE"""),"64
18
79
7")</f>
        <v>64
18
79
7</v>
      </c>
      <c r="E142" s="30" t="str">
        <f>IFERROR(__xludf.DUMMYFUNCTION("""COMPUTED_VALUE"""),"66
18
82
7")</f>
        <v>66
18
82
7</v>
      </c>
      <c r="F142" s="30" t="str">
        <f>IFERROR(__xludf.DUMMYFUNCTION("""COMPUTED_VALUE"""),"68
19
86
8")</f>
        <v>68
19
86
8</v>
      </c>
      <c r="G142" s="30" t="str">
        <f>IFERROR(__xludf.DUMMYFUNCTION("""COMPUTED_VALUE"""),"Chance to consume no MP (4%)
Caster Sugar at start (30/35/40/50%)")</f>
        <v>Chance to consume no MP (4%)
Caster Sugar at start (30/35/40/50%)</v>
      </c>
      <c r="H142" s="42" t="str">
        <f>IFERROR(__xludf.DUMMYFUNCTION("""COMPUTED_VALUE"""),"Cobblestone: 36000")</f>
        <v>Cobblestone: 36000</v>
      </c>
      <c r="I142" s="45"/>
    </row>
    <row r="143">
      <c r="A143" s="41" t="str">
        <f>IFERROR(__xludf.DUMMYFUNCTION("""COMPUTED_VALUE"""),"Faerie King's Cane")</f>
        <v>Faerie King's Cane</v>
      </c>
      <c r="B143" s="31" t="str">
        <f>IFERROR(__xludf.DUMMYFUNCTION("""COMPUTED_VALUE"""),"Magic Mend
Magic Might
Attack
Mp Absorb")</f>
        <v>Magic Mend
Magic Might
Attack
Mp Absorb</v>
      </c>
      <c r="C143" s="31" t="str">
        <f>IFERROR(__xludf.DUMMYFUNCTION("""COMPUTED_VALUE"""),"70
19
88
8")</f>
        <v>70
19
88
8</v>
      </c>
      <c r="D143" s="31" t="str">
        <f>IFERROR(__xludf.DUMMYFUNCTION("""COMPUTED_VALUE"""),"71
19
90
8")</f>
        <v>71
19
90
8</v>
      </c>
      <c r="E143" s="31" t="str">
        <f>IFERROR(__xludf.DUMMYFUNCTION("""COMPUTED_VALUE"""),"73
20
92
8")</f>
        <v>73
20
92
8</v>
      </c>
      <c r="F143" s="31" t="str">
        <f>IFERROR(__xludf.DUMMYFUNCTION("""COMPUTED_VALUE"""),"75
20
94
8")</f>
        <v>75
20
94
8</v>
      </c>
      <c r="G143" s="31" t="str">
        <f>IFERROR(__xludf.DUMMYFUNCTION("""COMPUTED_VALUE"""),"All damage reduced (5/6/8/10%)
(10/15/20/25) HP/Turn")</f>
        <v>All damage reduced (5/6/8/10%)
(10/15/20/25) HP/Turn</v>
      </c>
      <c r="H143" s="41" t="str">
        <f>IFERROR(__xludf.DUMMYFUNCTION("""COMPUTED_VALUE"""),"Wheel of Harma: Final Trial (35 Moves)")</f>
        <v>Wheel of Harma: Final Trial (35 Moves)</v>
      </c>
      <c r="I143" s="46"/>
    </row>
    <row r="144">
      <c r="A144" s="42" t="str">
        <f>IFERROR(__xludf.DUMMYFUNCTION("""COMPUTED_VALUE"""),"Naughty Stick")</f>
        <v>Naughty Stick</v>
      </c>
      <c r="B144" s="30" t="str">
        <f>IFERROR(__xludf.DUMMYFUNCTION("""COMPUTED_VALUE"""),"Attack")</f>
        <v>Attack</v>
      </c>
      <c r="C144" s="30">
        <f>IFERROR(__xludf.DUMMYFUNCTION("""COMPUTED_VALUE"""),1.0)</f>
        <v>1</v>
      </c>
      <c r="D144" s="30">
        <f>IFERROR(__xludf.DUMMYFUNCTION("""COMPUTED_VALUE"""),1.0)</f>
        <v>1</v>
      </c>
      <c r="E144" s="30">
        <f>IFERROR(__xludf.DUMMYFUNCTION("""COMPUTED_VALUE"""),1.0)</f>
        <v>1</v>
      </c>
      <c r="F144" s="30">
        <f>IFERROR(__xludf.DUMMYFUNCTION("""COMPUTED_VALUE"""),1.0)</f>
        <v>1</v>
      </c>
      <c r="G144" s="30" t="str">
        <f>IFERROR(__xludf.DUMMYFUNCTION("""COMPUTED_VALUE"""),"Critical Chance (30/35/40/50%)")</f>
        <v>Critical Chance (30/35/40/50%)</v>
      </c>
      <c r="H144" s="42" t="str">
        <f>IFERROR(__xludf.DUMMYFUNCTION("""COMPUTED_VALUE"""),"Wheel of Harma: Fourth Trial ")</f>
        <v>Wheel of Harma: Fourth Trial </v>
      </c>
      <c r="I144" s="45"/>
    </row>
    <row r="145">
      <c r="A145" s="41" t="str">
        <f>IFERROR(__xludf.DUMMYFUNCTION("""COMPUTED_VALUE"""),"Rusty Sceptre")</f>
        <v>Rusty Sceptre</v>
      </c>
      <c r="B145" s="31" t="str">
        <f>IFERROR(__xludf.DUMMYFUNCTION("""COMPUTED_VALUE"""),"Attack")</f>
        <v>Attack</v>
      </c>
      <c r="C145" s="31">
        <f>IFERROR(__xludf.DUMMYFUNCTION("""COMPUTED_VALUE"""),1.0)</f>
        <v>1</v>
      </c>
      <c r="D145" s="31" t="str">
        <f>IFERROR(__xludf.DUMMYFUNCTION("""COMPUTED_VALUE"""),"--")</f>
        <v>--</v>
      </c>
      <c r="E145" s="31" t="str">
        <f>IFERROR(__xludf.DUMMYFUNCTION("""COMPUTED_VALUE"""),"--")</f>
        <v>--</v>
      </c>
      <c r="F145" s="31" t="str">
        <f>IFERROR(__xludf.DUMMYFUNCTION("""COMPUTED_VALUE"""),"--")</f>
        <v>--</v>
      </c>
      <c r="G145" s="31" t="str">
        <f>IFERROR(__xludf.DUMMYFUNCTION("""COMPUTED_VALUE"""),"--")</f>
        <v>--</v>
      </c>
      <c r="H145" s="41" t="str">
        <f>IFERROR(__xludf.DUMMYFUNCTION("""COMPUTED_VALUE"""),"Story")</f>
        <v>Story</v>
      </c>
      <c r="I145" s="46"/>
    </row>
    <row r="146">
      <c r="A146" s="42" t="str">
        <f>IFERROR(__xludf.DUMMYFUNCTION("""COMPUTED_VALUE"""),"Sceptre of Time")</f>
        <v>Sceptre of Time</v>
      </c>
      <c r="B146" s="30" t="str">
        <f>IFERROR(__xludf.DUMMYFUNCTION("""COMPUTED_VALUE"""),"Magic Mend
Magic Might
Attack
Mp Absorb")</f>
        <v>Magic Mend
Magic Might
Attack
Mp Absorb</v>
      </c>
      <c r="C146" s="30" t="str">
        <f>IFERROR(__xludf.DUMMYFUNCTION("""COMPUTED_VALUE"""),"64
17
76
7")</f>
        <v>64
17
76
7</v>
      </c>
      <c r="D146" s="30" t="str">
        <f>IFERROR(__xludf.DUMMYFUNCTION("""COMPUTED_VALUE"""),"66
18
80
7")</f>
        <v>66
18
80
7</v>
      </c>
      <c r="E146" s="30" t="str">
        <f>IFERROR(__xludf.DUMMYFUNCTION("""COMPUTED_VALUE"""),"68
18
84
7")</f>
        <v>68
18
84
7</v>
      </c>
      <c r="F146" s="30" t="str">
        <f>IFERROR(__xludf.DUMMYFUNCTION("""COMPUTED_VALUE"""),"70
19
88
8")</f>
        <v>70
19
88
8</v>
      </c>
      <c r="G146" s="30" t="str">
        <f>IFERROR(__xludf.DUMMYFUNCTION("""COMPUTED_VALUE"""),"Alma Mater at start (25/50/75/100%)
(6/7/8/10) MP/Turn")</f>
        <v>Alma Mater at start (25/50/75/100%)
(6/7/8/10) MP/Turn</v>
      </c>
      <c r="H146" s="42" t="str">
        <f>IFERROR(__xludf.DUMMYFUNCTION("""COMPUTED_VALUE"""),"Recipe: If I Could Turn Back Time")</f>
        <v>Recipe: If I Could Turn Back Time</v>
      </c>
      <c r="I146" s="42" t="str">
        <f>IFERROR(__xludf.DUMMYFUNCTION("""COMPUTED_VALUE"""),"Rusty Sceptre: 1
Chronocrystal: 3
Uber Agate of Evolution: 1
Spectralite: 1
Cumulonimbough: 2")</f>
        <v>Rusty Sceptre: 1
Chronocrystal: 3
Uber Agate of Evolution: 1
Spectralite: 1
Cumulonimbough: 2</v>
      </c>
    </row>
    <row r="147">
      <c r="A147" s="40" t="str">
        <f>IFERROR(__xludf.DUMMYFUNCTION("""COMPUTED_VALUE"""),"Heavy Wands")</f>
        <v>Heavy Wands</v>
      </c>
      <c r="B147" s="24"/>
      <c r="C147" s="24"/>
      <c r="D147" s="24"/>
      <c r="E147" s="24"/>
      <c r="F147" s="24"/>
      <c r="G147" s="24"/>
      <c r="H147" s="24"/>
      <c r="I147" s="25"/>
    </row>
    <row r="148">
      <c r="A148" s="42" t="str">
        <f>IFERROR(__xludf.DUMMYFUNCTION("""COMPUTED_VALUE"""),"Veronica's Staff")</f>
        <v>Veronica's Staff</v>
      </c>
      <c r="B148" s="30" t="str">
        <f>IFERROR(__xludf.DUMMYFUNCTION("""COMPUTED_VALUE"""),"Magic Might
Attack
 MP Absorb")</f>
        <v>Magic Might
Attack
 MP Absorb</v>
      </c>
      <c r="C148" s="30" t="str">
        <f>IFERROR(__xludf.DUMMYFUNCTION("""COMPUTED_VALUE"""),"8
10
8")</f>
        <v>8
10
8</v>
      </c>
      <c r="D148" s="30" t="str">
        <f>IFERROR(__xludf.DUMMYFUNCTION("""COMPUTED_VALUE"""),"10
12
8")</f>
        <v>10
12
8</v>
      </c>
      <c r="E148" s="30" t="str">
        <f>IFERROR(__xludf.DUMMYFUNCTION("""COMPUTED_VALUE"""),"12
15
8")</f>
        <v>12
15
8</v>
      </c>
      <c r="F148" s="30" t="str">
        <f>IFERROR(__xludf.DUMMYFUNCTION("""COMPUTED_VALUE"""),"14
18
8")</f>
        <v>14
18
8</v>
      </c>
      <c r="G148" s="30" t="str">
        <f>IFERROR(__xludf.DUMMYFUNCTION("""COMPUTED_VALUE"""),"--")</f>
        <v>--</v>
      </c>
      <c r="H148" s="42" t="str">
        <f>IFERROR(__xludf.DUMMYFUNCTION("""COMPUTED_VALUE"""),"Story")</f>
        <v>Story</v>
      </c>
      <c r="I148" s="45"/>
    </row>
    <row r="149">
      <c r="A149" s="41" t="str">
        <f>IFERROR(__xludf.DUMMYFUNCTION("""COMPUTED_VALUE"""),"Faerie Staff")</f>
        <v>Faerie Staff</v>
      </c>
      <c r="B149" s="31" t="str">
        <f>IFERROR(__xludf.DUMMYFUNCTION("""COMPUTED_VALUE"""),"Magic Might
Magic Mend
Attack
MP Absorb")</f>
        <v>Magic Might
Magic Mend
Attack
MP Absorb</v>
      </c>
      <c r="C149" s="31" t="str">
        <f>IFERROR(__xludf.DUMMYFUNCTION("""COMPUTED_VALUE"""),"15
7
15
8")</f>
        <v>15
7
15
8</v>
      </c>
      <c r="D149" s="31" t="str">
        <f>IFERROR(__xludf.DUMMYFUNCTION("""COMPUTED_VALUE"""),"16
7
16
8")</f>
        <v>16
7
16
8</v>
      </c>
      <c r="E149" s="31" t="str">
        <f>IFERROR(__xludf.DUMMYFUNCTION("""COMPUTED_VALUE"""),"16
8
17
8")</f>
        <v>16
8
17
8</v>
      </c>
      <c r="F149" s="31" t="str">
        <f>IFERROR(__xludf.DUMMYFUNCTION("""COMPUTED_VALUE"""),"17
8
18
8")</f>
        <v>17
8
18
8</v>
      </c>
      <c r="G149" s="31" t="str">
        <f>IFERROR(__xludf.DUMMYFUNCTION("""COMPUTED_VALUE"""),"--")</f>
        <v>--</v>
      </c>
      <c r="H149" s="41" t="str">
        <f>IFERROR(__xludf.DUMMYFUNCTION("""COMPUTED_VALUE"""),"Gallopolis: 980")</f>
        <v>Gallopolis: 980</v>
      </c>
      <c r="I149" s="46"/>
    </row>
    <row r="150">
      <c r="A150" s="42" t="str">
        <f>IFERROR(__xludf.DUMMYFUNCTION("""COMPUTED_VALUE"""),"Rab's Cane")</f>
        <v>Rab's Cane</v>
      </c>
      <c r="B150" s="30" t="str">
        <f>IFERROR(__xludf.DUMMYFUNCTION("""COMPUTED_VALUE"""),"Magic Might
Magic Mend
Attack
MP Absorb")</f>
        <v>Magic Might
Magic Mend
Attack
MP Absorb</v>
      </c>
      <c r="C150" s="30" t="str">
        <f>IFERROR(__xludf.DUMMYFUNCTION("""COMPUTED_VALUE"""),"15
10
15
8")</f>
        <v>15
10
15
8</v>
      </c>
      <c r="D150" s="30" t="str">
        <f>IFERROR(__xludf.DUMMYFUNCTION("""COMPUTED_VALUE"""),"16
11
17
8")</f>
        <v>16
11
17
8</v>
      </c>
      <c r="E150" s="30" t="str">
        <f>IFERROR(__xludf.DUMMYFUNCTION("""COMPUTED_VALUE"""),"18
13
19
8")</f>
        <v>18
13
19
8</v>
      </c>
      <c r="F150" s="30" t="str">
        <f>IFERROR(__xludf.DUMMYFUNCTION("""COMPUTED_VALUE"""),"20
15
22
8")</f>
        <v>20
15
22
8</v>
      </c>
      <c r="G150" s="30" t="str">
        <f>IFERROR(__xludf.DUMMYFUNCTION("""COMPUTED_VALUE"""),"Restores HP of one ally when used as item")</f>
        <v>Restores HP of one ally when used as item</v>
      </c>
      <c r="H150" s="42" t="str">
        <f>IFERROR(__xludf.DUMMYFUNCTION("""COMPUTED_VALUE"""),"Story")</f>
        <v>Story</v>
      </c>
      <c r="I150" s="45"/>
    </row>
    <row r="151">
      <c r="A151" s="41" t="str">
        <f>IFERROR(__xludf.DUMMYFUNCTION("""COMPUTED_VALUE"""),"Wizard's Staff")</f>
        <v>Wizard's Staff</v>
      </c>
      <c r="B151" s="31" t="str">
        <f>IFERROR(__xludf.DUMMYFUNCTION("""COMPUTED_VALUE"""),"Magic Might
Magic Mend
Attack
MP Absorb")</f>
        <v>Magic Might
Magic Mend
Attack
MP Absorb</v>
      </c>
      <c r="C151" s="31" t="str">
        <f>IFERROR(__xludf.DUMMYFUNCTION("""COMPUTED_VALUE"""),"17
8
17
8")</f>
        <v>17
8
17
8</v>
      </c>
      <c r="D151" s="31" t="str">
        <f>IFERROR(__xludf.DUMMYFUNCTION("""COMPUTED_VALUE"""),"17
8
18
8")</f>
        <v>17
8
18
8</v>
      </c>
      <c r="E151" s="31" t="str">
        <f>IFERROR(__xludf.DUMMYFUNCTION("""COMPUTED_VALUE"""),"18
8
19
8")</f>
        <v>18
8
19
8</v>
      </c>
      <c r="F151" s="31" t="str">
        <f>IFERROR(__xludf.DUMMYFUNCTION("""COMPUTED_VALUE"""),"19
9
20
8")</f>
        <v>19
9
20
8</v>
      </c>
      <c r="G151" s="31" t="str">
        <f>IFERROR(__xludf.DUMMYFUNCTION("""COMPUTED_VALUE"""),"Fire damage to one enemy when used as item")</f>
        <v>Fire damage to one enemy when used as item</v>
      </c>
      <c r="H151" s="9" t="str">
        <f>IFERROR(__xludf.DUMMYFUNCTION("""COMPUTED_VALUE"""),"Gondolia: 1300
Recipe: So You Want to Be a Witch
Common: Whackolyte, Rare: Lump Wizard, Lump Mage ")</f>
        <v>Gondolia: 1300
Recipe: So You Want to Be a Witch
Common: Whackolyte, Rare: Lump Wizard, Lump Mage </v>
      </c>
      <c r="I151" s="41" t="str">
        <f>IFERROR(__xludf.DUMMYFUNCTION("""COMPUTED_VALUE"""),"Pink Pine: 2
Warmaline: 1
Lamplight: 1")</f>
        <v>Pink Pine: 2
Warmaline: 1
Lamplight: 1</v>
      </c>
    </row>
    <row r="152">
      <c r="A152" s="42" t="str">
        <f>IFERROR(__xludf.DUMMYFUNCTION("""COMPUTED_VALUE"""),"Watermaul Wand")</f>
        <v>Watermaul Wand</v>
      </c>
      <c r="B152" s="30" t="str">
        <f>IFERROR(__xludf.DUMMYFUNCTION("""COMPUTED_VALUE"""),"Magic Might
Magic Mend
Attack
MP Absorb")</f>
        <v>Magic Might
Magic Mend
Attack
MP Absorb</v>
      </c>
      <c r="C152" s="30" t="str">
        <f>IFERROR(__xludf.DUMMYFUNCTION("""COMPUTED_VALUE"""),"18
13
20
9")</f>
        <v>18
13
20
9</v>
      </c>
      <c r="D152" s="30" t="str">
        <f>IFERROR(__xludf.DUMMYFUNCTION("""COMPUTED_VALUE"""),"19
14
21
9")</f>
        <v>19
14
21
9</v>
      </c>
      <c r="E152" s="30" t="str">
        <f>IFERROR(__xludf.DUMMYFUNCTION("""COMPUTED_VALUE"""),"20
15
22
9")</f>
        <v>20
15
22
9</v>
      </c>
      <c r="F152" s="30" t="str">
        <f>IFERROR(__xludf.DUMMYFUNCTION("""COMPUTED_VALUE"""),"21
16
23
9")</f>
        <v>21
16
23
9</v>
      </c>
      <c r="G152" s="30" t="str">
        <f>IFERROR(__xludf.DUMMYFUNCTION("""COMPUTED_VALUE"""),"MP stolen from nature enemies increased by 2%
Bonus damage to Nature (20%)")</f>
        <v>MP stolen from nature enemies increased by 2%
Bonus damage to Nature (20%)</v>
      </c>
      <c r="H152" s="42" t="str">
        <f>IFERROR(__xludf.DUMMYFUNCTION("""COMPUTED_VALUE"""),"Puerto Valor, Nautica: 1400
Common: Spinchilla")</f>
        <v>Puerto Valor, Nautica: 1400
Common: Spinchilla</v>
      </c>
      <c r="I152" s="45"/>
    </row>
    <row r="153">
      <c r="A153" s="41" t="str">
        <f>IFERROR(__xludf.DUMMYFUNCTION("""COMPUTED_VALUE"""),"Rod of Rapidity")</f>
        <v>Rod of Rapidity</v>
      </c>
      <c r="B153" s="31" t="str">
        <f>IFERROR(__xludf.DUMMYFUNCTION("""COMPUTED_VALUE"""),"Magic Might
Magic Mend
Attack
MP Absorb")</f>
        <v>Magic Might
Magic Mend
Attack
MP Absorb</v>
      </c>
      <c r="C153" s="31" t="str">
        <f>IFERROR(__xludf.DUMMYFUNCTION("""COMPUTED_VALUE"""),"20
15
22
9")</f>
        <v>20
15
22
9</v>
      </c>
      <c r="D153" s="31" t="str">
        <f>IFERROR(__xludf.DUMMYFUNCTION("""COMPUTED_VALUE"""),"22
16
24
9")</f>
        <v>22
16
24
9</v>
      </c>
      <c r="E153" s="31" t="str">
        <f>IFERROR(__xludf.DUMMYFUNCTION("""COMPUTED_VALUE"""),"24
17
26
9")</f>
        <v>24
17
26
9</v>
      </c>
      <c r="F153" s="31" t="str">
        <f>IFERROR(__xludf.DUMMYFUNCTION("""COMPUTED_VALUE"""),"26
19
28
9")</f>
        <v>26
19
28
9</v>
      </c>
      <c r="G153" s="31" t="str">
        <f>IFERROR(__xludf.DUMMYFUNCTION("""COMPUTED_VALUE"""),"Increase user's agility when used as item")</f>
        <v>Increase user's agility when used as item</v>
      </c>
      <c r="H153" s="41" t="str">
        <f>IFERROR(__xludf.DUMMYFUNCTION("""COMPUTED_VALUE"""),"Octagonia, Costa Valor: 2400")</f>
        <v>Octagonia, Costa Valor: 2400</v>
      </c>
      <c r="I153" s="46"/>
    </row>
    <row r="154">
      <c r="A154" s="42" t="str">
        <f>IFERROR(__xludf.DUMMYFUNCTION("""COMPUTED_VALUE"""),"Staff of Sentencing")</f>
        <v>Staff of Sentencing</v>
      </c>
      <c r="B154" s="30" t="str">
        <f>IFERROR(__xludf.DUMMYFUNCTION("""COMPUTED_VALUE"""),"Magic Might
Magic Mend
Attack
MP Absorb")</f>
        <v>Magic Might
Magic Mend
Attack
MP Absorb</v>
      </c>
      <c r="C154" s="30" t="str">
        <f>IFERROR(__xludf.DUMMYFUNCTION("""COMPUTED_VALUE"""),"21
10
23
9")</f>
        <v>21
10
23
9</v>
      </c>
      <c r="D154" s="30" t="str">
        <f>IFERROR(__xludf.DUMMYFUNCTION("""COMPUTED_VALUE"""),"23
11
25
9")</f>
        <v>23
11
25
9</v>
      </c>
      <c r="E154" s="30" t="str">
        <f>IFERROR(__xludf.DUMMYFUNCTION("""COMPUTED_VALUE"""),"25
11
27
9")</f>
        <v>25
11
27
9</v>
      </c>
      <c r="F154" s="30" t="str">
        <f>IFERROR(__xludf.DUMMYFUNCTION("""COMPUTED_VALUE"""),"27
12
29
9")</f>
        <v>27
12
29
9</v>
      </c>
      <c r="G154" s="30" t="str">
        <f>IFERROR(__xludf.DUMMYFUNCTION("""COMPUTED_VALUE"""),"Wind damage to group when used as item")</f>
        <v>Wind damage to group when used as item</v>
      </c>
      <c r="H154" s="42" t="str">
        <f>IFERROR(__xludf.DUMMYFUNCTION("""COMPUTED_VALUE"""),"Puerto Valor Casino: 7500")</f>
        <v>Puerto Valor Casino: 7500</v>
      </c>
      <c r="I154" s="45"/>
    </row>
    <row r="155">
      <c r="A155" s="41" t="str">
        <f>IFERROR(__xludf.DUMMYFUNCTION("""COMPUTED_VALUE"""),"Rune Staff")</f>
        <v>Rune Staff</v>
      </c>
      <c r="B155" s="31" t="str">
        <f>IFERROR(__xludf.DUMMYFUNCTION("""COMPUTED_VALUE"""),"Magic Might
Magic Mend
Attack
MP Absorb")</f>
        <v>Magic Might
Magic Mend
Attack
MP Absorb</v>
      </c>
      <c r="C155" s="31" t="str">
        <f>IFERROR(__xludf.DUMMYFUNCTION("""COMPUTED_VALUE"""),"21
16
23
9")</f>
        <v>21
16
23
9</v>
      </c>
      <c r="D155" s="31" t="str">
        <f>IFERROR(__xludf.DUMMYFUNCTION("""COMPUTED_VALUE"""),"23
17
25
9")</f>
        <v>23
17
25
9</v>
      </c>
      <c r="E155" s="31" t="str">
        <f>IFERROR(__xludf.DUMMYFUNCTION("""COMPUTED_VALUE"""),"25
18
27
9")</f>
        <v>25
18
27
9</v>
      </c>
      <c r="F155" s="31" t="str">
        <f>IFERROR(__xludf.DUMMYFUNCTION("""COMPUTED_VALUE"""),"27
20
29
9")</f>
        <v>27
20
29
9</v>
      </c>
      <c r="G155" s="31" t="str">
        <f>IFERROR(__xludf.DUMMYFUNCTION("""COMPUTED_VALUE"""),"8% chance to paralyze enemies")</f>
        <v>8% chance to paralyze enemies</v>
      </c>
      <c r="H155" s="41" t="str">
        <f>IFERROR(__xludf.DUMMYFUNCTION("""COMPUTED_VALUE"""),"Mini Medal Stamp: 20")</f>
        <v>Mini Medal Stamp: 20</v>
      </c>
      <c r="I155" s="46"/>
    </row>
    <row r="156">
      <c r="A156" s="42" t="str">
        <f>IFERROR(__xludf.DUMMYFUNCTION("""COMPUTED_VALUE"""),"Lightning Staff")</f>
        <v>Lightning Staff</v>
      </c>
      <c r="B156" s="30" t="str">
        <f>IFERROR(__xludf.DUMMYFUNCTION("""COMPUTED_VALUE"""),"Magic Might
Magic Mend
Attack
MP Absorb")</f>
        <v>Magic Might
Magic Mend
Attack
MP Absorb</v>
      </c>
      <c r="C156" s="30" t="str">
        <f>IFERROR(__xludf.DUMMYFUNCTION("""COMPUTED_VALUE"""),"22
10
24
9")</f>
        <v>22
10
24
9</v>
      </c>
      <c r="D156" s="30" t="str">
        <f>IFERROR(__xludf.DUMMYFUNCTION("""COMPUTED_VALUE"""),"24
11
26
9")</f>
        <v>24
11
26
9</v>
      </c>
      <c r="E156" s="30" t="str">
        <f>IFERROR(__xludf.DUMMYFUNCTION("""COMPUTED_VALUE"""),"26
12
28
9")</f>
        <v>26
12
28
9</v>
      </c>
      <c r="F156" s="30" t="str">
        <f>IFERROR(__xludf.DUMMYFUNCTION("""COMPUTED_VALUE"""),"28
13
30
9")</f>
        <v>28
13
30
9</v>
      </c>
      <c r="G156" s="30" t="str">
        <f>IFERROR(__xludf.DUMMYFUNCTION("""COMPUTED_VALUE"""),"Lightning damage to group when used as item")</f>
        <v>Lightning damage to group when used as item</v>
      </c>
      <c r="H156" s="13" t="str">
        <f>IFERROR(__xludf.DUMMYFUNCTION("""COMPUTED_VALUE"""),"Lonalulu, Phnom Nonh: 4600
Recipe: Electrifying Equipment
Common: Professaurus, Rare: Wight Prince")</f>
        <v>Lonalulu, Phnom Nonh: 4600
Recipe: Electrifying Equipment
Common: Professaurus, Rare: Wight Prince</v>
      </c>
      <c r="I156" s="42" t="str">
        <f>IFERROR(__xludf.DUMMYFUNCTION("""COMPUTED_VALUE"""),"Pink Pine: 2
Thunderball: 1
Royal Soil: 1")</f>
        <v>Pink Pine: 2
Thunderball: 1
Royal Soil: 1</v>
      </c>
    </row>
    <row r="157">
      <c r="A157" s="41" t="str">
        <f>IFERROR(__xludf.DUMMYFUNCTION("""COMPUTED_VALUE"""),"Hocus Locus")</f>
        <v>Hocus Locus</v>
      </c>
      <c r="B157" s="31" t="str">
        <f>IFERROR(__xludf.DUMMYFUNCTION("""COMPUTED_VALUE"""),"Magic Might
Magic Mend
Attack
MP Absorb")</f>
        <v>Magic Might
Magic Mend
Attack
MP Absorb</v>
      </c>
      <c r="C157" s="31" t="str">
        <f>IFERROR(__xludf.DUMMYFUNCTION("""COMPUTED_VALUE"""),"25
12
27
9")</f>
        <v>25
12
27
9</v>
      </c>
      <c r="D157" s="31" t="str">
        <f>IFERROR(__xludf.DUMMYFUNCTION("""COMPUTED_VALUE"""),"27
12
28
9")</f>
        <v>27
12
28
9</v>
      </c>
      <c r="E157" s="31" t="str">
        <f>IFERROR(__xludf.DUMMYFUNCTION("""COMPUTED_VALUE"""),"29
13
30
9")</f>
        <v>29
13
30
9</v>
      </c>
      <c r="F157" s="31" t="str">
        <f>IFERROR(__xludf.DUMMYFUNCTION("""COMPUTED_VALUE"""),"31
15
32
9")</f>
        <v>31
15
32
9</v>
      </c>
      <c r="G157" s="31" t="str">
        <f>IFERROR(__xludf.DUMMYFUNCTION("""COMPUTED_VALUE"""),"8% chance to paralyze enemies")</f>
        <v>8% chance to paralyze enemies</v>
      </c>
      <c r="H157" s="41" t="str">
        <f>IFERROR(__xludf.DUMMYFUNCTION("""COMPUTED_VALUE"""),"Recipe: Making the Magic Happen")</f>
        <v>Recipe: Making the Magic Happen</v>
      </c>
      <c r="I157" s="41" t="str">
        <f>IFERROR(__xludf.DUMMYFUNCTION("""COMPUTED_VALUE"""),"Pink Pine: 2
Sparkly Sap: 2
Yellow Eye: 1")</f>
        <v>Pink Pine: 2
Sparkly Sap: 2
Yellow Eye: 1</v>
      </c>
    </row>
    <row r="158">
      <c r="A158" s="42" t="str">
        <f>IFERROR(__xludf.DUMMYFUNCTION("""COMPUTED_VALUE"""),"Shiverstick")</f>
        <v>Shiverstick</v>
      </c>
      <c r="B158" s="30" t="str">
        <f>IFERROR(__xludf.DUMMYFUNCTION("""COMPUTED_VALUE"""),"Magic Might
Magic Mend
Attack
MP Absorb")</f>
        <v>Magic Might
Magic Mend
Attack
MP Absorb</v>
      </c>
      <c r="C158" s="30" t="str">
        <f>IFERROR(__xludf.DUMMYFUNCTION("""COMPUTED_VALUE"""),"26
12
28
9")</f>
        <v>26
12
28
9</v>
      </c>
      <c r="D158" s="30" t="str">
        <f>IFERROR(__xludf.DUMMYFUNCTION("""COMPUTED_VALUE"""),"28
13
29
9")</f>
        <v>28
13
29
9</v>
      </c>
      <c r="E158" s="30" t="str">
        <f>IFERROR(__xludf.DUMMYFUNCTION("""COMPUTED_VALUE"""),"30
14
31
9")</f>
        <v>30
14
31
9</v>
      </c>
      <c r="F158" s="30" t="str">
        <f>IFERROR(__xludf.DUMMYFUNCTION("""COMPUTED_VALUE"""),"32
15
33
9")</f>
        <v>32
15
33
9</v>
      </c>
      <c r="G158" s="30" t="str">
        <f>IFERROR(__xludf.DUMMYFUNCTION("""COMPUTED_VALUE"""),"Ice damage to group when used as item")</f>
        <v>Ice damage to group when used as item</v>
      </c>
      <c r="H158" s="42" t="str">
        <f>IFERROR(__xludf.DUMMYFUNCTION("""COMPUTED_VALUE"""),"Sniflheim: 3300
Recipe: Supercool Kit")</f>
        <v>Sniflheim: 3300
Recipe: Supercool Kit</v>
      </c>
      <c r="I158" s="42" t="str">
        <f>IFERROR(__xludf.DUMMYFUNCTION("""COMPUTED_VALUE"""),"Avabranche: 2
Purple Eye: 1
Sparkly Sap: 1")</f>
        <v>Avabranche: 2
Purple Eye: 1
Sparkly Sap: 1</v>
      </c>
    </row>
    <row r="159">
      <c r="A159" s="41" t="str">
        <f>IFERROR(__xludf.DUMMYFUNCTION("""COMPUTED_VALUE"""),"Staff of Antimagic")</f>
        <v>Staff of Antimagic</v>
      </c>
      <c r="B159" s="31" t="str">
        <f>IFERROR(__xludf.DUMMYFUNCTION("""COMPUTED_VALUE"""),"Magic Might
Magic Mend
Attack
MP Absorb")</f>
        <v>Magic Might
Magic Mend
Attack
MP Absorb</v>
      </c>
      <c r="C159" s="31" t="str">
        <f>IFERROR(__xludf.DUMMYFUNCTION("""COMPUTED_VALUE"""),"28
13
30
10")</f>
        <v>28
13
30
10</v>
      </c>
      <c r="D159" s="31" t="str">
        <f>IFERROR(__xludf.DUMMYFUNCTION("""COMPUTED_VALUE"""),"30
14
32
10")</f>
        <v>30
14
32
10</v>
      </c>
      <c r="E159" s="31" t="str">
        <f>IFERROR(__xludf.DUMMYFUNCTION("""COMPUTED_VALUE"""),"33
15
34
10")</f>
        <v>33
15
34
10</v>
      </c>
      <c r="F159" s="31" t="str">
        <f>IFERROR(__xludf.DUMMYFUNCTION("""COMPUTED_VALUE"""),"36
17
36
10")</f>
        <v>36
17
36
10</v>
      </c>
      <c r="G159" s="31" t="str">
        <f>IFERROR(__xludf.DUMMYFUNCTION("""COMPUTED_VALUE"""),"Fizzle a group when used as item")</f>
        <v>Fizzle a group when used as item</v>
      </c>
      <c r="H159" s="41" t="str">
        <f>IFERROR(__xludf.DUMMYFUNCTION("""COMPUTED_VALUE"""),"Arboria: 6000
Rare: Shadow Minister")</f>
        <v>Arboria: 6000
Rare: Shadow Minister</v>
      </c>
      <c r="I159" s="46"/>
    </row>
    <row r="160">
      <c r="A160" s="42" t="str">
        <f>IFERROR(__xludf.DUMMYFUNCTION("""COMPUTED_VALUE"""),"Spirit Staff")</f>
        <v>Spirit Staff</v>
      </c>
      <c r="B160" s="30" t="str">
        <f>IFERROR(__xludf.DUMMYFUNCTION("""COMPUTED_VALUE"""),"Magic Might
Magic Mend
Attack
MP Absorb")</f>
        <v>Magic Might
Magic Mend
Attack
MP Absorb</v>
      </c>
      <c r="C160" s="30" t="str">
        <f>IFERROR(__xludf.DUMMYFUNCTION("""COMPUTED_VALUE"""),"32
24
33
10")</f>
        <v>32
24
33
10</v>
      </c>
      <c r="D160" s="30" t="str">
        <f>IFERROR(__xludf.DUMMYFUNCTION("""COMPUTED_VALUE"""),"32
26
35
10")</f>
        <v>32
26
35
10</v>
      </c>
      <c r="E160" s="30" t="str">
        <f>IFERROR(__xludf.DUMMYFUNCTION("""COMPUTED_VALUE"""),"37
28
37
10")</f>
        <v>37
28
37
10</v>
      </c>
      <c r="F160" s="30" t="str">
        <f>IFERROR(__xludf.DUMMYFUNCTION("""COMPUTED_VALUE"""),"40
31
39
10")</f>
        <v>40
31
39
10</v>
      </c>
      <c r="G160" s="35"/>
      <c r="H160" s="42" t="str">
        <f>IFERROR(__xludf.DUMMYFUNCTION("""COMPUTED_VALUE"""),"Champs Sauvage, Phnom Nonh: Angri-La: 7100")</f>
        <v>Champs Sauvage, Phnom Nonh: Angri-La: 7100</v>
      </c>
      <c r="I160" s="45"/>
    </row>
    <row r="161">
      <c r="A161" s="41" t="str">
        <f>IFERROR(__xludf.DUMMYFUNCTION("""COMPUTED_VALUE"""),"Staff of Divine Wrath")</f>
        <v>Staff of Divine Wrath</v>
      </c>
      <c r="B161" s="31" t="str">
        <f>IFERROR(__xludf.DUMMYFUNCTION("""COMPUTED_VALUE"""),"Magic Might
Magic Mend
Attack
MP Absorb")</f>
        <v>Magic Might
Magic Mend
Attack
MP Absorb</v>
      </c>
      <c r="C161" s="31" t="str">
        <f>IFERROR(__xludf.DUMMYFUNCTION("""COMPUTED_VALUE"""),"33
16
35
10")</f>
        <v>33
16
35
10</v>
      </c>
      <c r="D161" s="31" t="str">
        <f>IFERROR(__xludf.DUMMYFUNCTION("""COMPUTED_VALUE"""),"35
17
37
10")</f>
        <v>35
17
37
10</v>
      </c>
      <c r="E161" s="31" t="str">
        <f>IFERROR(__xludf.DUMMYFUNCTION("""COMPUTED_VALUE"""),"38
18
39
10")</f>
        <v>38
18
39
10</v>
      </c>
      <c r="F161" s="31" t="str">
        <f>IFERROR(__xludf.DUMMYFUNCTION("""COMPUTED_VALUE"""),"41
20
41
10")</f>
        <v>41
20
41
10</v>
      </c>
      <c r="G161" s="31" t="str">
        <f>IFERROR(__xludf.DUMMYFUNCTION("""COMPUTED_VALUE"""),"Wind damage to group when used as item")</f>
        <v>Wind damage to group when used as item</v>
      </c>
      <c r="H161" s="41" t="str">
        <f>IFERROR(__xludf.DUMMYFUNCTION("""COMPUTED_VALUE"""),"Wheel of Harma: First Trial (16 Moves)")</f>
        <v>Wheel of Harma: First Trial (16 Moves)</v>
      </c>
      <c r="I161" s="46"/>
    </row>
    <row r="162">
      <c r="A162" s="42" t="str">
        <f>IFERROR(__xludf.DUMMYFUNCTION("""COMPUTED_VALUE"""),"Tsunami Staff")</f>
        <v>Tsunami Staff</v>
      </c>
      <c r="B162" s="30" t="str">
        <f>IFERROR(__xludf.DUMMYFUNCTION("""COMPUTED_VALUE"""),"Magic Might
Magic Mend
Attack
MP Absorb")</f>
        <v>Magic Might
Magic Mend
Attack
MP Absorb</v>
      </c>
      <c r="C162" s="30" t="str">
        <f>IFERROR(__xludf.DUMMYFUNCTION("""COMPUTED_VALUE"""),"34
26
36
10")</f>
        <v>34
26
36
10</v>
      </c>
      <c r="D162" s="30" t="str">
        <f>IFERROR(__xludf.DUMMYFUNCTION("""COMPUTED_VALUE"""),"37
28
38
10")</f>
        <v>37
28
38
10</v>
      </c>
      <c r="E162" s="30" t="str">
        <f>IFERROR(__xludf.DUMMYFUNCTION("""COMPUTED_VALUE"""),"40
31
40
10")</f>
        <v>40
31
40
10</v>
      </c>
      <c r="F162" s="30" t="str">
        <f>IFERROR(__xludf.DUMMYFUNCTION("""COMPUTED_VALUE"""),"43
34
42
10")</f>
        <v>43
34
42
10</v>
      </c>
      <c r="G162" s="30" t="str">
        <f>IFERROR(__xludf.DUMMYFUNCTION("""COMPUTED_VALUE"""),"MP stolen from nature enemies increased by 2%
Bonus damage to Nature (20%)")</f>
        <v>MP stolen from nature enemies increased by 2%
Bonus damage to Nature (20%)</v>
      </c>
      <c r="H162" s="42" t="str">
        <f>IFERROR(__xludf.DUMMYFUNCTION("""COMPUTED_VALUE"""),"Rare: Hoker-Poker")</f>
        <v>Rare: Hoker-Poker</v>
      </c>
      <c r="I162" s="45"/>
    </row>
    <row r="163">
      <c r="A163" s="41" t="str">
        <f>IFERROR(__xludf.DUMMYFUNCTION("""COMPUTED_VALUE"""),"Lightning Conductor")</f>
        <v>Lightning Conductor</v>
      </c>
      <c r="B163" s="31" t="str">
        <f>IFERROR(__xludf.DUMMYFUNCTION("""COMPUTED_VALUE"""),"Magic Might
Magic Mend
Attack
MP Absorb")</f>
        <v>Magic Might
Magic Mend
Attack
MP Absorb</v>
      </c>
      <c r="C163" s="31" t="str">
        <f>IFERROR(__xludf.DUMMYFUNCTION("""COMPUTED_VALUE"""),"36
17
36
10")</f>
        <v>36
17
36
10</v>
      </c>
      <c r="D163" s="31" t="str">
        <f>IFERROR(__xludf.DUMMYFUNCTION("""COMPUTED_VALUE"""),"38
18
38
10")</f>
        <v>38
18
38
10</v>
      </c>
      <c r="E163" s="31" t="str">
        <f>IFERROR(__xludf.DUMMYFUNCTION("""COMPUTED_VALUE"""),"41
20
40
10")</f>
        <v>41
20
40
10</v>
      </c>
      <c r="F163" s="31" t="str">
        <f>IFERROR(__xludf.DUMMYFUNCTION("""COMPUTED_VALUE"""),"44
22
43
10")</f>
        <v>44
22
43
10</v>
      </c>
      <c r="G163" s="31" t="str">
        <f>IFERROR(__xludf.DUMMYFUNCTION("""COMPUTED_VALUE"""),"Lightning damage to group when used as item")</f>
        <v>Lightning damage to group when used as item</v>
      </c>
      <c r="H163" s="9" t="str">
        <f>IFERROR(__xludf.DUMMYFUNCTION("""COMPUTED_VALUE"""),"Recipe: Bottling Lightning")</f>
        <v>Recipe: Bottling Lightning</v>
      </c>
      <c r="I163" s="41" t="str">
        <f>IFERROR(__xludf.DUMMYFUNCTION("""COMPUTED_VALUE"""),"Spellbound Bough: 2
Thunderball: 1
Enchanted Stone: 1")</f>
        <v>Spellbound Bough: 2
Thunderball: 1
Enchanted Stone: 1</v>
      </c>
    </row>
    <row r="164">
      <c r="A164" s="42" t="str">
        <f>IFERROR(__xludf.DUMMYFUNCTION("""COMPUTED_VALUE"""),"Celestial Sceptre")</f>
        <v>Celestial Sceptre</v>
      </c>
      <c r="B164" s="30" t="str">
        <f>IFERROR(__xludf.DUMMYFUNCTION("""COMPUTED_VALUE"""),"Magic Might
Magic Mend
Attack
MP Absorb")</f>
        <v>Magic Might
Magic Mend
Attack
MP Absorb</v>
      </c>
      <c r="C164" s="30" t="str">
        <f>IFERROR(__xludf.DUMMYFUNCTION("""COMPUTED_VALUE"""),"37
28
38
10")</f>
        <v>37
28
38
10</v>
      </c>
      <c r="D164" s="30" t="str">
        <f>IFERROR(__xludf.DUMMYFUNCTION("""COMPUTED_VALUE"""),"39
30
40
10")</f>
        <v>39
30
40
10</v>
      </c>
      <c r="E164" s="30" t="str">
        <f>IFERROR(__xludf.DUMMYFUNCTION("""COMPUTED_VALUE"""),"42
33
42
10")</f>
        <v>42
33
42
10</v>
      </c>
      <c r="F164" s="30" t="str">
        <f>IFERROR(__xludf.DUMMYFUNCTION("""COMPUTED_VALUE"""),"45
36
44
10")</f>
        <v>45
36
44
10</v>
      </c>
      <c r="G164" s="35"/>
      <c r="H164" s="42" t="str">
        <f>IFERROR(__xludf.DUMMYFUNCTION("""COMPUTED_VALUE"""),"Zwaardsrust Region, Dundrasil Region, Puerto Valor: 7700")</f>
        <v>Zwaardsrust Region, Dundrasil Region, Puerto Valor: 7700</v>
      </c>
      <c r="I164" s="45"/>
    </row>
    <row r="165">
      <c r="A165" s="41" t="str">
        <f>IFERROR(__xludf.DUMMYFUNCTION("""COMPUTED_VALUE"""),"Sage's Staff")</f>
        <v>Sage's Staff</v>
      </c>
      <c r="B165" s="31" t="str">
        <f>IFERROR(__xludf.DUMMYFUNCTION("""COMPUTED_VALUE"""),"Magic Might
Magic Mend
Attack
MP Absorb")</f>
        <v>Magic Might
Magic Mend
Attack
MP Absorb</v>
      </c>
      <c r="C165" s="31" t="str">
        <f>IFERROR(__xludf.DUMMYFUNCTION("""COMPUTED_VALUE"""),"47
35
45
10")</f>
        <v>47
35
45
10</v>
      </c>
      <c r="D165" s="31" t="str">
        <f>IFERROR(__xludf.DUMMYFUNCTION("""COMPUTED_VALUE"""),"49
39
47
10")</f>
        <v>49
39
47
10</v>
      </c>
      <c r="E165" s="31" t="str">
        <f>IFERROR(__xludf.DUMMYFUNCTION("""COMPUTED_VALUE"""),"52
41
49
10")</f>
        <v>52
41
49
10</v>
      </c>
      <c r="F165" s="31" t="str">
        <f>IFERROR(__xludf.DUMMYFUNCTION("""COMPUTED_VALUE"""),"55
44
51
10")</f>
        <v>55
44
51
10</v>
      </c>
      <c r="G165" s="31" t="str">
        <f>IFERROR(__xludf.DUMMYFUNCTION("""COMPUTED_VALUE"""),"Insulatle to group when used as item")</f>
        <v>Insulatle to group when used as item</v>
      </c>
      <c r="H165" s="41" t="str">
        <f>IFERROR(__xludf.DUMMYFUNCTION("""COMPUTED_VALUE"""),"Octagonia, Lonalulu, Sniflheim: 10000
Recipe: Fine Fashons for Philiosophers
")</f>
        <v>Octagonia, Lonalulu, Sniflheim: 10000
Recipe: Fine Fashons for Philiosophers
</v>
      </c>
      <c r="I165" s="41" t="str">
        <f>IFERROR(__xludf.DUMMYFUNCTION("""COMPUTED_VALUE"""),"Fatalistick: 1
Thinkincense: 3
Fresh Water: 3
Yellow Eye: 3")</f>
        <v>Fatalistick: 1
Thinkincense: 3
Fresh Water: 3
Yellow Eye: 3</v>
      </c>
    </row>
    <row r="166">
      <c r="A166" s="42" t="str">
        <f>IFERROR(__xludf.DUMMYFUNCTION("""COMPUTED_VALUE"""),"Hieroglyph Staff")</f>
        <v>Hieroglyph Staff</v>
      </c>
      <c r="B166" s="30" t="str">
        <f>IFERROR(__xludf.DUMMYFUNCTION("""COMPUTED_VALUE"""),"Magic Might
Magic Mend
Attack
MP Absorb")</f>
        <v>Magic Might
Magic Mend
Attack
MP Absorb</v>
      </c>
      <c r="C166" s="30" t="str">
        <f>IFERROR(__xludf.DUMMYFUNCTION("""COMPUTED_VALUE"""),"51
26
48
10")</f>
        <v>51
26
48
10</v>
      </c>
      <c r="D166" s="30" t="str">
        <f>IFERROR(__xludf.DUMMYFUNCTION("""COMPUTED_VALUE"""),"53
27
50
10")</f>
        <v>53
27
50
10</v>
      </c>
      <c r="E166" s="30" t="str">
        <f>IFERROR(__xludf.DUMMYFUNCTION("""COMPUTED_VALUE"""),"56
28
52
10")</f>
        <v>56
28
52
10</v>
      </c>
      <c r="F166" s="30" t="str">
        <f>IFERROR(__xludf.DUMMYFUNCTION("""COMPUTED_VALUE"""),"59
30
54
10")</f>
        <v>59
30
54
10</v>
      </c>
      <c r="G166" s="35"/>
      <c r="H166" s="42" t="str">
        <f>IFERROR(__xludf.DUMMYFUNCTION("""COMPUTED_VALUE"""),"Gallopolis, Gondolia, Arboira: 8300")</f>
        <v>Gallopolis, Gondolia, Arboira: 8300</v>
      </c>
      <c r="I166" s="45"/>
    </row>
    <row r="167">
      <c r="A167" s="41" t="str">
        <f>IFERROR(__xludf.DUMMYFUNCTION("""COMPUTED_VALUE"""),"Siren's Staff")</f>
        <v>Siren's Staff</v>
      </c>
      <c r="B167" s="31" t="str">
        <f>IFERROR(__xludf.DUMMYFUNCTION("""COMPUTED_VALUE"""),"Magic Might
Magic Mend
Attack
MP Absorb")</f>
        <v>Magic Might
Magic Mend
Attack
MP Absorb</v>
      </c>
      <c r="C167" s="31" t="str">
        <f>IFERROR(__xludf.DUMMYFUNCTION("""COMPUTED_VALUE"""),"54
43
50
11")</f>
        <v>54
43
50
11</v>
      </c>
      <c r="D167" s="31" t="str">
        <f>IFERROR(__xludf.DUMMYFUNCTION("""COMPUTED_VALUE"""),"56
45
52
11")</f>
        <v>56
45
52
11</v>
      </c>
      <c r="E167" s="31" t="str">
        <f>IFERROR(__xludf.DUMMYFUNCTION("""COMPUTED_VALUE"""),"59
47
54
11")</f>
        <v>59
47
54
11</v>
      </c>
      <c r="F167" s="31" t="str">
        <f>IFERROR(__xludf.DUMMYFUNCTION("""COMPUTED_VALUE"""),"62
50
56
11")</f>
        <v>62
50
56
11</v>
      </c>
      <c r="G167" s="31" t="str">
        <f>IFERROR(__xludf.DUMMYFUNCTION("""COMPUTED_VALUE"""),"8% chance to beguile enemies
Increase user's spell resistance when used as item")</f>
        <v>8% chance to beguile enemies
Increase user's spell resistance when used as item</v>
      </c>
      <c r="H167" s="41" t="str">
        <f>IFERROR(__xludf.DUMMYFUNCTION("""COMPUTED_VALUE"""),"Nautica: 18000")</f>
        <v>Nautica: 18000</v>
      </c>
      <c r="I167" s="46"/>
    </row>
    <row r="168">
      <c r="A168" s="42" t="str">
        <f>IFERROR(__xludf.DUMMYFUNCTION("""COMPUTED_VALUE"""),"Magma Staff")</f>
        <v>Magma Staff</v>
      </c>
      <c r="B168" s="30" t="str">
        <f>IFERROR(__xludf.DUMMYFUNCTION("""COMPUTED_VALUE"""),"Magic Might
Magic Mend
Attack
MP Absorb")</f>
        <v>Magic Might
Magic Mend
Attack
MP Absorb</v>
      </c>
      <c r="C168" s="30" t="str">
        <f>IFERROR(__xludf.DUMMYFUNCTION("""COMPUTED_VALUE"""),"55
28
51
12")</f>
        <v>55
28
51
12</v>
      </c>
      <c r="D168" s="30" t="str">
        <f>IFERROR(__xludf.DUMMYFUNCTION("""COMPUTED_VALUE"""),"57
29
53
12")</f>
        <v>57
29
53
12</v>
      </c>
      <c r="E168" s="30" t="str">
        <f>IFERROR(__xludf.DUMMYFUNCTION("""COMPUTED_VALUE"""),"60
30
55
12")</f>
        <v>60
30
55
12</v>
      </c>
      <c r="F168" s="30" t="str">
        <f>IFERROR(__xludf.DUMMYFUNCTION("""COMPUTED_VALUE"""),"63
32
57
12")</f>
        <v>63
32
57
12</v>
      </c>
      <c r="G168" s="30" t="str">
        <f>IFERROR(__xludf.DUMMYFUNCTION("""COMPUTED_VALUE"""),"Damage all enemies when used as item")</f>
        <v>Damage all enemies when used as item</v>
      </c>
      <c r="H168" s="42" t="str">
        <f>IFERROR(__xludf.DUMMYFUNCTION("""COMPUTED_VALUE"""),"Chest: Mount Huji")</f>
        <v>Chest: Mount Huji</v>
      </c>
      <c r="I168" s="45"/>
    </row>
    <row r="169">
      <c r="A169" s="41" t="str">
        <f>IFERROR(__xludf.DUMMYFUNCTION("""COMPUTED_VALUE"""),"Sacrosanct Staff")</f>
        <v>Sacrosanct Staff</v>
      </c>
      <c r="B169" s="31" t="str">
        <f>IFERROR(__xludf.DUMMYFUNCTION("""COMPUTED_VALUE"""),"Magic Might
Magic Mend
Attack
MP Absorb")</f>
        <v>Magic Might
Magic Mend
Attack
MP Absorb</v>
      </c>
      <c r="C169" s="31" t="str">
        <f>IFERROR(__xludf.DUMMYFUNCTION("""COMPUTED_VALUE"""),"58
47
53
12")</f>
        <v>58
47
53
12</v>
      </c>
      <c r="D169" s="31" t="str">
        <f>IFERROR(__xludf.DUMMYFUNCTION("""COMPUTED_VALUE"""),"60
49
57
12")</f>
        <v>60
49
57
12</v>
      </c>
      <c r="E169" s="31" t="str">
        <f>IFERROR(__xludf.DUMMYFUNCTION("""COMPUTED_VALUE"""),"62
51
57
12")</f>
        <v>62
51
57
12</v>
      </c>
      <c r="F169" s="31" t="str">
        <f>IFERROR(__xludf.DUMMYFUNCTION("""COMPUTED_VALUE"""),"65
54
59
12")</f>
        <v>65
54
59
12</v>
      </c>
      <c r="G169" s="31" t="str">
        <f>IFERROR(__xludf.DUMMYFUNCTION("""COMPUTED_VALUE"""),"Bonus damage to Demon (10%)")</f>
        <v>Bonus damage to Demon (10%)</v>
      </c>
      <c r="H169" s="41" t="str">
        <f>IFERROR(__xludf.DUMMYFUNCTION("""COMPUTED_VALUE"""),"Recipe: Good Godly Gear")</f>
        <v>Recipe: Good Godly Gear</v>
      </c>
      <c r="I169" s="41" t="str">
        <f>IFERROR(__xludf.DUMMYFUNCTION("""COMPUTED_VALUE"""),"Avabranche: 3
Sainted Soma: 1
Royal Soil: 3
Sparkly Sap: 2")</f>
        <v>Avabranche: 3
Sainted Soma: 1
Royal Soil: 3
Sparkly Sap: 2</v>
      </c>
    </row>
    <row r="170">
      <c r="A170" s="42" t="str">
        <f>IFERROR(__xludf.DUMMYFUNCTION("""COMPUTED_VALUE"""),"Wyrmwand")</f>
        <v>Wyrmwand</v>
      </c>
      <c r="B170" s="30" t="str">
        <f>IFERROR(__xludf.DUMMYFUNCTION("""COMPUTED_VALUE"""),"Magic Might
Magic Mend
Attack
MP Absorb")</f>
        <v>Magic Might
Magic Mend
Attack
MP Absorb</v>
      </c>
      <c r="C170" s="30" t="str">
        <f>IFERROR(__xludf.DUMMYFUNCTION("""COMPUTED_VALUE"""),"60
31
55
12")</f>
        <v>60
31
55
12</v>
      </c>
      <c r="D170" s="30" t="str">
        <f>IFERROR(__xludf.DUMMYFUNCTION("""COMPUTED_VALUE"""),"62
32
57
12")</f>
        <v>62
32
57
12</v>
      </c>
      <c r="E170" s="30" t="str">
        <f>IFERROR(__xludf.DUMMYFUNCTION("""COMPUTED_VALUE"""),"65
33
59
12")</f>
        <v>65
33
59
12</v>
      </c>
      <c r="F170" s="30" t="str">
        <f>IFERROR(__xludf.DUMMYFUNCTION("""COMPUTED_VALUE"""),"68
35
61
12")</f>
        <v>68
35
61
12</v>
      </c>
      <c r="G170" s="30" t="str">
        <f>IFERROR(__xludf.DUMMYFUNCTION("""COMPUTED_VALUE"""),"MP stolen from dragon enemies increased by 3%
Fire damage to group when used as item")</f>
        <v>MP stolen from dragon enemies increased by 3%
Fire damage to group when used as item</v>
      </c>
      <c r="H170" s="42" t="str">
        <f>IFERROR(__xludf.DUMMYFUNCTION("""COMPUTED_VALUE"""),"Recipe: Even More Dragony Designs")</f>
        <v>Recipe: Even More Dragony Designs</v>
      </c>
      <c r="I170" s="42" t="str">
        <f>IFERROR(__xludf.DUMMYFUNCTION("""COMPUTED_VALUE"""),"Fire Wood: 2
Royal Ruby: 2
Dragon Horn: 2
Sparkly Sap: 2")</f>
        <v>Fire Wood: 2
Royal Ruby: 2
Dragon Horn: 2
Sparkly Sap: 2</v>
      </c>
    </row>
    <row r="171">
      <c r="A171" s="41" t="str">
        <f>IFERROR(__xludf.DUMMYFUNCTION("""COMPUTED_VALUE"""),"Supreme Sage's Staff")</f>
        <v>Supreme Sage's Staff</v>
      </c>
      <c r="B171" s="31" t="str">
        <f>IFERROR(__xludf.DUMMYFUNCTION("""COMPUTED_VALUE"""),"Magic Might
Magic Mend
Attack
MP Absorb")</f>
        <v>Magic Might
Magic Mend
Attack
MP Absorb</v>
      </c>
      <c r="C171" s="31" t="str">
        <f>IFERROR(__xludf.DUMMYFUNCTION("""COMPUTED_VALUE"""),"70
57
63
14")</f>
        <v>70
57
63
14</v>
      </c>
      <c r="D171" s="31" t="str">
        <f>IFERROR(__xludf.DUMMYFUNCTION("""COMPUTED_VALUE"""),"72
59
67
14")</f>
        <v>72
59
67
14</v>
      </c>
      <c r="E171" s="31" t="str">
        <f>IFERROR(__xludf.DUMMYFUNCTION("""COMPUTED_VALUE"""),"75
61
71
14")</f>
        <v>75
61
71
14</v>
      </c>
      <c r="F171" s="31" t="str">
        <f>IFERROR(__xludf.DUMMYFUNCTION("""COMPUTED_VALUE"""),"78
63
76
14")</f>
        <v>78
63
76
14</v>
      </c>
      <c r="G171" s="31" t="str">
        <f>IFERROR(__xludf.DUMMYFUNCTION("""COMPUTED_VALUE"""),"Insulatle to group when used as item")</f>
        <v>Insulatle to group when used as item</v>
      </c>
      <c r="H171" s="41" t="str">
        <f>IFERROR(__xludf.DUMMYFUNCTION("""COMPUTED_VALUE"""),"Recipe: Sage Advice")</f>
        <v>Recipe: Sage Advice</v>
      </c>
      <c r="I171" s="41" t="str">
        <f>IFERROR(__xludf.DUMMYFUNCTION("""COMPUTED_VALUE"""),"Wyrmwood: 3
Spellbound Bough: 2
Sage's Elixir: 1
Thinkincense: 2")</f>
        <v>Wyrmwood: 3
Spellbound Bough: 2
Sage's Elixir: 1
Thinkincense: 2</v>
      </c>
    </row>
    <row r="172">
      <c r="A172" s="42" t="str">
        <f>IFERROR(__xludf.DUMMYFUNCTION("""COMPUTED_VALUE"""),"Staff of Resurrection")</f>
        <v>Staff of Resurrection</v>
      </c>
      <c r="B172" s="30" t="str">
        <f>IFERROR(__xludf.DUMMYFUNCTION("""COMPUTED_VALUE"""),"Magic Might
Magic Mend
Attack
MP Absorb")</f>
        <v>Magic Might
Magic Mend
Attack
MP Absorb</v>
      </c>
      <c r="C172" s="30" t="str">
        <f>IFERROR(__xludf.DUMMYFUNCTION("""COMPUTED_VALUE"""),"78
64
77
15")</f>
        <v>78
64
77
15</v>
      </c>
      <c r="D172" s="30" t="str">
        <f>IFERROR(__xludf.DUMMYFUNCTION("""COMPUTED_VALUE"""),"80
65
77
15")</f>
        <v>80
65
77
15</v>
      </c>
      <c r="E172" s="30" t="str">
        <f>IFERROR(__xludf.DUMMYFUNCTION("""COMPUTED_VALUE"""),"83
67
77
15")</f>
        <v>83
67
77
15</v>
      </c>
      <c r="F172" s="30" t="str">
        <f>IFERROR(__xludf.DUMMYFUNCTION("""COMPUTED_VALUE"""),"86
69
88
15")</f>
        <v>86
69
88
15</v>
      </c>
      <c r="G172" s="30" t="str">
        <f>IFERROR(__xludf.DUMMYFUNCTION("""COMPUTED_VALUE"""),"Zing when used as item")</f>
        <v>Zing when used as item</v>
      </c>
      <c r="H172" s="42" t="str">
        <f>IFERROR(__xludf.DUMMYFUNCTION("""COMPUTED_VALUE"""),"Trial Isle: 45000
Rare: Great Dragon")</f>
        <v>Trial Isle: 45000
Rare: Great Dragon</v>
      </c>
      <c r="I172" s="45"/>
    </row>
    <row r="173">
      <c r="A173" s="41" t="str">
        <f>IFERROR(__xludf.DUMMYFUNCTION("""COMPUTED_VALUE"""),"Rod of Paradise")</f>
        <v>Rod of Paradise</v>
      </c>
      <c r="B173" s="31" t="str">
        <f>IFERROR(__xludf.DUMMYFUNCTION("""COMPUTED_VALUE"""),"Magic Might
Magic Mend
Attack
MP Absorb")</f>
        <v>Magic Might
Magic Mend
Attack
MP Absorb</v>
      </c>
      <c r="C173" s="31" t="str">
        <f>IFERROR(__xludf.DUMMYFUNCTION("""COMPUTED_VALUE"""),"82
70
88
15")</f>
        <v>82
70
88
15</v>
      </c>
      <c r="D173" s="31" t="str">
        <f>IFERROR(__xludf.DUMMYFUNCTION("""COMPUTED_VALUE"""),"84
72
92
15")</f>
        <v>84
72
92
15</v>
      </c>
      <c r="E173" s="31" t="str">
        <f>IFERROR(__xludf.DUMMYFUNCTION("""COMPUTED_VALUE"""),"86
74
96
15")</f>
        <v>86
74
96
15</v>
      </c>
      <c r="F173" s="31" t="str">
        <f>IFERROR(__xludf.DUMMYFUNCTION("""COMPUTED_VALUE"""),"89
76
100
15")</f>
        <v>89
76
100
15</v>
      </c>
      <c r="G173" s="31" t="str">
        <f>IFERROR(__xludf.DUMMYFUNCTION("""COMPUTED_VALUE"""),"Acceleratle when used as item")</f>
        <v>Acceleratle when used as item</v>
      </c>
      <c r="H173" s="41" t="str">
        <f>IFERROR(__xludf.DUMMYFUNCTION("""COMPUTED_VALUE"""),"Cobblestone: 30000")</f>
        <v>Cobblestone: 30000</v>
      </c>
      <c r="I173" s="46"/>
    </row>
    <row r="174">
      <c r="A174" s="42" t="str">
        <f>IFERROR(__xludf.DUMMYFUNCTION("""COMPUTED_VALUE"""),"Staff of Eternity")</f>
        <v>Staff of Eternity</v>
      </c>
      <c r="B174" s="30" t="str">
        <f>IFERROR(__xludf.DUMMYFUNCTION("""COMPUTED_VALUE"""),"Magic Might
Magic Mend
Attack
MP Absorb")</f>
        <v>Magic Might
Magic Mend
Attack
MP Absorb</v>
      </c>
      <c r="C174" s="30" t="str">
        <f>IFERROR(__xludf.DUMMYFUNCTION("""COMPUTED_VALUE"""),"87
44
90
15")</f>
        <v>87
44
90
15</v>
      </c>
      <c r="D174" s="30" t="str">
        <f>IFERROR(__xludf.DUMMYFUNCTION("""COMPUTED_VALUE"""),"89
45
94
15")</f>
        <v>89
45
94
15</v>
      </c>
      <c r="E174" s="30" t="str">
        <f>IFERROR(__xludf.DUMMYFUNCTION("""COMPUTED_VALUE"""),"91
46
98
15")</f>
        <v>91
46
98
15</v>
      </c>
      <c r="F174" s="30" t="str">
        <f>IFERROR(__xludf.DUMMYFUNCTION("""COMPUTED_VALUE"""),"94
47
103
15")</f>
        <v>94
47
103
15</v>
      </c>
      <c r="G174" s="30" t="str">
        <f>IFERROR(__xludf.DUMMYFUNCTION("""COMPUTED_VALUE"""),"Critical spell chance increased by (1/2/2/3%)")</f>
        <v>Critical spell chance increased by (1/2/2/3%)</v>
      </c>
      <c r="H174" s="42" t="str">
        <f>IFERROR(__xludf.DUMMYFUNCTION("""COMPUTED_VALUE"""),"Recipe: Big Hitters of the Battlefield")</f>
        <v>Recipe: Big Hitters of the Battlefield</v>
      </c>
      <c r="I174" s="42" t="str">
        <f>IFERROR(__xludf.DUMMYFUNCTION("""COMPUTED_VALUE"""),"Cumulonimbough: 2
Chronocrystal: 2
Crimsonite: 1
Serpent's Soul: 1
Sparkly Sap: 1")</f>
        <v>Cumulonimbough: 2
Chronocrystal: 2
Crimsonite: 1
Serpent's Soul: 1
Sparkly Sap: 1</v>
      </c>
    </row>
    <row r="175">
      <c r="A175" s="41" t="str">
        <f>IFERROR(__xludf.DUMMYFUNCTION("""COMPUTED_VALUE"""),"Bright Staff")</f>
        <v>Bright Staff</v>
      </c>
      <c r="B175" s="31" t="str">
        <f>IFERROR(__xludf.DUMMYFUNCTION("""COMPUTED_VALUE"""),"Magic Might
Magic Mend
Attack
MP Absorb")</f>
        <v>Magic Might
Magic Mend
Attack
MP Absorb</v>
      </c>
      <c r="C175" s="31" t="str">
        <f>IFERROR(__xludf.DUMMYFUNCTION("""COMPUTED_VALUE"""),"60
49
55
12")</f>
        <v>60
49
55
12</v>
      </c>
      <c r="D175" s="31" t="str">
        <f>IFERROR(__xludf.DUMMYFUNCTION("""COMPUTED_VALUE"""),"--")</f>
        <v>--</v>
      </c>
      <c r="E175" s="31" t="str">
        <f>IFERROR(__xludf.DUMMYFUNCTION("""COMPUTED_VALUE"""),"--")</f>
        <v>--</v>
      </c>
      <c r="F175" s="31" t="str">
        <f>IFERROR(__xludf.DUMMYFUNCTION("""COMPUTED_VALUE"""),"--")</f>
        <v>--</v>
      </c>
      <c r="G175" s="31" t="str">
        <f>IFERROR(__xludf.DUMMYFUNCTION("""COMPUTED_VALUE"""),"Chance to remove enemy buffs (20%)")</f>
        <v>Chance to remove enemy buffs (20%)</v>
      </c>
      <c r="H175" s="41" t="str">
        <f>IFERROR(__xludf.DUMMYFUNCTION("""COMPUTED_VALUE"""),"Wheel of Harma: Third Trial (15 Moves)")</f>
        <v>Wheel of Harma: Third Trial (15 Moves)</v>
      </c>
      <c r="I175" s="46"/>
    </row>
    <row r="176">
      <c r="A176" s="42" t="str">
        <f>IFERROR(__xludf.DUMMYFUNCTION("""COMPUTED_VALUE"""),"Shining Staff")</f>
        <v>Shining Staff</v>
      </c>
      <c r="B176" s="30" t="str">
        <f>IFERROR(__xludf.DUMMYFUNCTION("""COMPUTED_VALUE"""),"Magic Might
Magic Mend
Attack
MP Absorb")</f>
        <v>Magic Might
Magic Mend
Attack
MP Absorb</v>
      </c>
      <c r="C176" s="30" t="str">
        <f>IFERROR(__xludf.DUMMYFUNCTION("""COMPUTED_VALUE"""),"74
60
70
14")</f>
        <v>74
60
70
14</v>
      </c>
      <c r="D176" s="30" t="str">
        <f>IFERROR(__xludf.DUMMYFUNCTION("""COMPUTED_VALUE"""),"--")</f>
        <v>--</v>
      </c>
      <c r="E176" s="30" t="str">
        <f>IFERROR(__xludf.DUMMYFUNCTION("""COMPUTED_VALUE"""),"--")</f>
        <v>--</v>
      </c>
      <c r="F176" s="30" t="str">
        <f>IFERROR(__xludf.DUMMYFUNCTION("""COMPUTED_VALUE"""),"--")</f>
        <v>--</v>
      </c>
      <c r="G176" s="30" t="str">
        <f>IFERROR(__xludf.DUMMYFUNCTION("""COMPUTED_VALUE"""),"Chance to remove enemy buffs (20%)")</f>
        <v>Chance to remove enemy buffs (20%)</v>
      </c>
      <c r="H176" s="42" t="str">
        <f>IFERROR(__xludf.DUMMYFUNCTION("""COMPUTED_VALUE"""),"Recipe: A Hero's Book of Basic Weapons")</f>
        <v>Recipe: A Hero's Book of Basic Weapons</v>
      </c>
      <c r="I176" s="42" t="str">
        <f>IFERROR(__xludf.DUMMYFUNCTION("""COMPUTED_VALUE"""),"Bright Staff: 1
Agate of Evolution: 1
Spellbound Bough: 1
Brighten Rock: 1")</f>
        <v>Bright Staff: 1
Agate of Evolution: 1
Spellbound Bough: 1
Brighten Rock: 1</v>
      </c>
    </row>
    <row r="177">
      <c r="A177" s="41" t="str">
        <f>IFERROR(__xludf.DUMMYFUNCTION("""COMPUTED_VALUE"""),"Brilliant Staff")</f>
        <v>Brilliant Staff</v>
      </c>
      <c r="B177" s="31" t="str">
        <f>IFERROR(__xludf.DUMMYFUNCTION("""COMPUTED_VALUE"""),"Magic Might
Magic Mend
Attack
MP Absorb")</f>
        <v>Magic Might
Magic Mend
Attack
MP Absorb</v>
      </c>
      <c r="C177" s="31" t="str">
        <f>IFERROR(__xludf.DUMMYFUNCTION("""COMPUTED_VALUE"""),"82
67
84
15")</f>
        <v>82
67
84
15</v>
      </c>
      <c r="D177" s="31" t="str">
        <f>IFERROR(__xludf.DUMMYFUNCTION("""COMPUTED_VALUE"""),"--")</f>
        <v>--</v>
      </c>
      <c r="E177" s="31" t="str">
        <f>IFERROR(__xludf.DUMMYFUNCTION("""COMPUTED_VALUE"""),"--")</f>
        <v>--</v>
      </c>
      <c r="F177" s="31" t="str">
        <f>IFERROR(__xludf.DUMMYFUNCTION("""COMPUTED_VALUE"""),"--")</f>
        <v>--</v>
      </c>
      <c r="G177" s="31" t="str">
        <f>IFERROR(__xludf.DUMMYFUNCTION("""COMPUTED_VALUE"""),"Chance to remove enemy buffs (20%)")</f>
        <v>Chance to remove enemy buffs (20%)</v>
      </c>
      <c r="H177" s="41" t="str">
        <f>IFERROR(__xludf.DUMMYFUNCTION("""COMPUTED_VALUE"""),"Recipe: A Hero's Book of Better Weapons")</f>
        <v>Recipe: A Hero's Book of Better Weapons</v>
      </c>
      <c r="I177" s="41" t="str">
        <f>IFERROR(__xludf.DUMMYFUNCTION("""COMPUTED_VALUE"""),"Shining Staff: 1
Agate of Evolution: 2
Spellbound Bough: 2
Brighten Rock: 2
Savvy Sapphire: 1")</f>
        <v>Shining Staff: 1
Agate of Evolution: 2
Spellbound Bough: 2
Brighten Rock: 2
Savvy Sapphire: 1</v>
      </c>
    </row>
    <row r="178">
      <c r="A178" s="42" t="str">
        <f>IFERROR(__xludf.DUMMYFUNCTION("""COMPUTED_VALUE"""),"Aurora Staff")</f>
        <v>Aurora Staff</v>
      </c>
      <c r="B178" s="30" t="str">
        <f>IFERROR(__xludf.DUMMYFUNCTION("""COMPUTED_VALUE"""),"Magic Might
Magic Mend
Attack
MP Absorb")</f>
        <v>Magic Might
Magic Mend
Attack
MP Absorb</v>
      </c>
      <c r="C178" s="30" t="str">
        <f>IFERROR(__xludf.DUMMYFUNCTION("""COMPUTED_VALUE"""),"95
76
104
16")</f>
        <v>95
76
104
16</v>
      </c>
      <c r="D178" s="30" t="str">
        <f>IFERROR(__xludf.DUMMYFUNCTION("""COMPUTED_VALUE"""),"96
77
106
16")</f>
        <v>96
77
106
16</v>
      </c>
      <c r="E178" s="30" t="str">
        <f>IFERROR(__xludf.DUMMYFUNCTION("""COMPUTED_VALUE"""),"98
78
109
16")</f>
        <v>98
78
109
16</v>
      </c>
      <c r="F178" s="30" t="str">
        <f>IFERROR(__xludf.DUMMYFUNCTION("""COMPUTED_VALUE"""),"100
80
112
16")</f>
        <v>100
80
112
16</v>
      </c>
      <c r="G178" s="30" t="str">
        <f>IFERROR(__xludf.DUMMYFUNCTION("""COMPUTED_VALUE"""),"Chance to remove enemy buffs (25/50/75/100%)")</f>
        <v>Chance to remove enemy buffs (25/50/75/100%)</v>
      </c>
      <c r="H178" s="42" t="str">
        <f>IFERROR(__xludf.DUMMYFUNCTION("""COMPUTED_VALUE"""),"Recipe: A Hero's Book of Brilliant Weapons")</f>
        <v>Recipe: A Hero's Book of Brilliant Weapons</v>
      </c>
      <c r="I178" s="42" t="str">
        <f>IFERROR(__xludf.DUMMYFUNCTION("""COMPUTED_VALUE"""),"Brilliant Staff: 1
Uber Agate of Evolution: 1
Spellbound Bough: 3
Brighten Rock: 3
Black Tear: 1")</f>
        <v>Brilliant Staff: 1
Uber Agate of Evolution: 1
Spellbound Bough: 3
Brighten Rock: 3
Black Tear: 1</v>
      </c>
    </row>
    <row r="179">
      <c r="A179" s="40" t="str">
        <f>IFERROR(__xludf.DUMMYFUNCTION("""COMPUTED_VALUE"""),"Spears")</f>
        <v>Spears</v>
      </c>
      <c r="B179" s="24"/>
      <c r="C179" s="24"/>
      <c r="D179" s="24"/>
      <c r="E179" s="24"/>
      <c r="F179" s="24"/>
      <c r="G179" s="24"/>
      <c r="H179" s="24"/>
      <c r="I179" s="25"/>
    </row>
    <row r="180">
      <c r="A180" s="42" t="str">
        <f>IFERROR(__xludf.DUMMYFUNCTION("""COMPUTED_VALUE"""),"Bronze Lance")</f>
        <v>Bronze Lance</v>
      </c>
      <c r="B180" s="30" t="str">
        <f>IFERROR(__xludf.DUMMYFUNCTION("""COMPUTED_VALUE"""),"Attack
Parry %")</f>
        <v>Attack
Parry %</v>
      </c>
      <c r="C180" s="30" t="str">
        <f>IFERROR(__xludf.DUMMYFUNCTION("""COMPUTED_VALUE"""),"17
1")</f>
        <v>17
1</v>
      </c>
      <c r="D180" s="30" t="str">
        <f>IFERROR(__xludf.DUMMYFUNCTION("""COMPUTED_VALUE"""),"22
1")</f>
        <v>22
1</v>
      </c>
      <c r="E180" s="30" t="str">
        <f>IFERROR(__xludf.DUMMYFUNCTION("""COMPUTED_VALUE"""),"27
1")</f>
        <v>27
1</v>
      </c>
      <c r="F180" s="30" t="str">
        <f>IFERROR(__xludf.DUMMYFUNCTION("""COMPUTED_VALUE"""),"32
1")</f>
        <v>32
1</v>
      </c>
      <c r="G180" s="30" t="str">
        <f>IFERROR(__xludf.DUMMYFUNCTION("""COMPUTED_VALUE"""),"--")</f>
        <v>--</v>
      </c>
      <c r="H180" s="42" t="str">
        <f>IFERROR(__xludf.DUMMYFUNCTION("""COMPUTED_VALUE"""),"Zumeanie")</f>
        <v>Zumeanie</v>
      </c>
      <c r="I180" s="45"/>
    </row>
    <row r="181">
      <c r="A181" s="41" t="str">
        <f>IFERROR(__xludf.DUMMYFUNCTION("""COMPUTED_VALUE"""),"Iron Lance")</f>
        <v>Iron Lance</v>
      </c>
      <c r="B181" s="31" t="str">
        <f>IFERROR(__xludf.DUMMYFUNCTION("""COMPUTED_VALUE"""),"Attack
Parry %")</f>
        <v>Attack
Parry %</v>
      </c>
      <c r="C181" s="31" t="str">
        <f>IFERROR(__xludf.DUMMYFUNCTION("""COMPUTED_VALUE"""),"24
1")</f>
        <v>24
1</v>
      </c>
      <c r="D181" s="31" t="str">
        <f>IFERROR(__xludf.DUMMYFUNCTION("""COMPUTED_VALUE"""),"17
1")</f>
        <v>17
1</v>
      </c>
      <c r="E181" s="31" t="str">
        <f>IFERROR(__xludf.DUMMYFUNCTION("""COMPUTED_VALUE"""),"30
1")</f>
        <v>30
1</v>
      </c>
      <c r="F181" s="31" t="str">
        <f>IFERROR(__xludf.DUMMYFUNCTION("""COMPUTED_VALUE"""),"34
1")</f>
        <v>34
1</v>
      </c>
      <c r="G181" s="31" t="str">
        <f>IFERROR(__xludf.DUMMYFUNCTION("""COMPUTED_VALUE"""),"--")</f>
        <v>--</v>
      </c>
      <c r="H181" s="41" t="str">
        <f>IFERROR(__xludf.DUMMYFUNCTION("""COMPUTED_VALUE"""),"Gallopolis, Laguna di Gondolia: 750
Rare: Orc")</f>
        <v>Gallopolis, Laguna di Gondolia: 750
Rare: Orc</v>
      </c>
      <c r="I181" s="46"/>
    </row>
    <row r="182">
      <c r="A182" s="42" t="str">
        <f>IFERROR(__xludf.DUMMYFUNCTION("""COMPUTED_VALUE"""),"Steel Lance")</f>
        <v>Steel Lance</v>
      </c>
      <c r="B182" s="30" t="str">
        <f>IFERROR(__xludf.DUMMYFUNCTION("""COMPUTED_VALUE"""),"Attack
Parry %")</f>
        <v>Attack
Parry %</v>
      </c>
      <c r="C182" s="30" t="str">
        <f>IFERROR(__xludf.DUMMYFUNCTION("""COMPUTED_VALUE"""),"34
1")</f>
        <v>34
1</v>
      </c>
      <c r="D182" s="30" t="str">
        <f>IFERROR(__xludf.DUMMYFUNCTION("""COMPUTED_VALUE"""),"37
1")</f>
        <v>37
1</v>
      </c>
      <c r="E182" s="30" t="str">
        <f>IFERROR(__xludf.DUMMYFUNCTION("""COMPUTED_VALUE"""),"40
1")</f>
        <v>40
1</v>
      </c>
      <c r="F182" s="30" t="str">
        <f>IFERROR(__xludf.DUMMYFUNCTION("""COMPUTED_VALUE"""),"44
1")</f>
        <v>44
1</v>
      </c>
      <c r="G182" s="30" t="str">
        <f>IFERROR(__xludf.DUMMYFUNCTION("""COMPUTED_VALUE"""),"--")</f>
        <v>--</v>
      </c>
      <c r="H182" s="42" t="str">
        <f>IFERROR(__xludf.DUMMYFUNCTION("""COMPUTED_VALUE"""),"Gondolia: 1500")</f>
        <v>Gondolia: 1500</v>
      </c>
      <c r="I182" s="45"/>
    </row>
    <row r="183">
      <c r="A183" s="41" t="str">
        <f>IFERROR(__xludf.DUMMYFUNCTION("""COMPUTED_VALUE"""),"Battle Fork")</f>
        <v>Battle Fork</v>
      </c>
      <c r="B183" s="31" t="str">
        <f>IFERROR(__xludf.DUMMYFUNCTION("""COMPUTED_VALUE"""),"Attack
Parry %
Critical %")</f>
        <v>Attack
Parry %
Critical %</v>
      </c>
      <c r="C183" s="31" t="str">
        <f>IFERROR(__xludf.DUMMYFUNCTION("""COMPUTED_VALUE"""),"47
2
1")</f>
        <v>47
2
1</v>
      </c>
      <c r="D183" s="31" t="str">
        <f>IFERROR(__xludf.DUMMYFUNCTION("""COMPUTED_VALUE"""),"49
2
1")</f>
        <v>49
2
1</v>
      </c>
      <c r="E183" s="31" t="str">
        <f>IFERROR(__xludf.DUMMYFUNCTION("""COMPUTED_VALUE"""),"51
2
1")</f>
        <v>51
2
1</v>
      </c>
      <c r="F183" s="31" t="str">
        <f>IFERROR(__xludf.DUMMYFUNCTION("""COMPUTED_VALUE"""),"56
2
1")</f>
        <v>56
2
1</v>
      </c>
      <c r="G183" s="31" t="str">
        <f>IFERROR(__xludf.DUMMYFUNCTION("""COMPUTED_VALUE"""),"Bonus damage to Nature (20%)")</f>
        <v>Bonus damage to Nature (20%)</v>
      </c>
      <c r="H183" s="41" t="str">
        <f>IFERROR(__xludf.DUMMYFUNCTION("""COMPUTED_VALUE"""),"Octagonia, Costa Valor, Puerto Valor: 2700
Recipe: Cutting-Edge Kit")</f>
        <v>Octagonia, Costa Valor, Puerto Valor: 2700
Recipe: Cutting-Edge Kit</v>
      </c>
      <c r="I183" s="41" t="str">
        <f>IFERROR(__xludf.DUMMYFUNCTION("""COMPUTED_VALUE"""),"Beast Bone: 2
Witherwood: 1
Yellow Eye: 1")</f>
        <v>Beast Bone: 2
Witherwood: 1
Yellow Eye: 1</v>
      </c>
    </row>
    <row r="184">
      <c r="A184" s="42" t="str">
        <f>IFERROR(__xludf.DUMMYFUNCTION("""COMPUTED_VALUE"""),"Jade's Glaive")</f>
        <v>Jade's Glaive</v>
      </c>
      <c r="B184" s="30" t="str">
        <f>IFERROR(__xludf.DUMMYFUNCTION("""COMPUTED_VALUE"""),"Attack
Parry %")</f>
        <v>Attack
Parry %</v>
      </c>
      <c r="C184" s="30" t="str">
        <f>IFERROR(__xludf.DUMMYFUNCTION("""COMPUTED_VALUE"""),"56
2")</f>
        <v>56
2</v>
      </c>
      <c r="D184" s="30" t="str">
        <f>IFERROR(__xludf.DUMMYFUNCTION("""COMPUTED_VALUE"""),"60
2")</f>
        <v>60
2</v>
      </c>
      <c r="E184" s="30" t="str">
        <f>IFERROR(__xludf.DUMMYFUNCTION("""COMPUTED_VALUE"""),"65
2")</f>
        <v>65
2</v>
      </c>
      <c r="F184" s="30" t="str">
        <f>IFERROR(__xludf.DUMMYFUNCTION("""COMPUTED_VALUE"""),"70
2")</f>
        <v>70
2</v>
      </c>
      <c r="G184" s="30" t="str">
        <f>IFERROR(__xludf.DUMMYFUNCTION("""COMPUTED_VALUE"""),"--")</f>
        <v>--</v>
      </c>
      <c r="H184" s="42" t="str">
        <f>IFERROR(__xludf.DUMMYFUNCTION("""COMPUTED_VALUE"""),"Story")</f>
        <v>Story</v>
      </c>
      <c r="I184" s="45"/>
    </row>
    <row r="185">
      <c r="A185" s="41" t="str">
        <f>IFERROR(__xludf.DUMMYFUNCTION("""COMPUTED_VALUE"""),"Trident")</f>
        <v>Trident</v>
      </c>
      <c r="B185" s="31" t="str">
        <f>IFERROR(__xludf.DUMMYFUNCTION("""COMPUTED_VALUE"""),"Attack
Parry %")</f>
        <v>Attack
Parry %</v>
      </c>
      <c r="C185" s="31" t="str">
        <f>IFERROR(__xludf.DUMMYFUNCTION("""COMPUTED_VALUE"""),"65
2")</f>
        <v>65
2</v>
      </c>
      <c r="D185" s="31" t="str">
        <f>IFERROR(__xludf.DUMMYFUNCTION("""COMPUTED_VALUE"""),"69
2")</f>
        <v>69
2</v>
      </c>
      <c r="E185" s="31" t="str">
        <f>IFERROR(__xludf.DUMMYFUNCTION("""COMPUTED_VALUE"""),"74
2")</f>
        <v>74
2</v>
      </c>
      <c r="F185" s="31" t="str">
        <f>IFERROR(__xludf.DUMMYFUNCTION("""COMPUTED_VALUE"""),"79
2")</f>
        <v>79
2</v>
      </c>
      <c r="G185" s="31" t="str">
        <f>IFERROR(__xludf.DUMMYFUNCTION("""COMPUTED_VALUE"""),"Bonus damage to Nature (20%)")</f>
        <v>Bonus damage to Nature (20%)</v>
      </c>
      <c r="H185" s="41" t="str">
        <f>IFERROR(__xludf.DUMMYFUNCTION("""COMPUTED_VALUE"""),"Lonalulu, Phnom Nonh: 5400")</f>
        <v>Lonalulu, Phnom Nonh: 5400</v>
      </c>
      <c r="I185" s="46"/>
    </row>
    <row r="186">
      <c r="A186" s="42" t="str">
        <f>IFERROR(__xludf.DUMMYFUNCTION("""COMPUTED_VALUE"""),"Gracos's Trident")</f>
        <v>Gracos's Trident</v>
      </c>
      <c r="B186" s="30" t="str">
        <f>IFERROR(__xludf.DUMMYFUNCTION("""COMPUTED_VALUE"""),"Attack
Parry %")</f>
        <v>Attack
Parry %</v>
      </c>
      <c r="C186" s="30" t="str">
        <f>IFERROR(__xludf.DUMMYFUNCTION("""COMPUTED_VALUE"""),"70
2")</f>
        <v>70
2</v>
      </c>
      <c r="D186" s="30" t="str">
        <f>IFERROR(__xludf.DUMMYFUNCTION("""COMPUTED_VALUE"""),"74
2")</f>
        <v>74
2</v>
      </c>
      <c r="E186" s="30" t="str">
        <f>IFERROR(__xludf.DUMMYFUNCTION("""COMPUTED_VALUE"""),"79
2")</f>
        <v>79
2</v>
      </c>
      <c r="F186" s="30" t="str">
        <f>IFERROR(__xludf.DUMMYFUNCTION("""COMPUTED_VALUE"""),"84
2")</f>
        <v>84
2</v>
      </c>
      <c r="G186" s="30" t="str">
        <f>IFERROR(__xludf.DUMMYFUNCTION("""COMPUTED_VALUE"""),"8% chance to beguile nature enemies")</f>
        <v>8% chance to beguile nature enemies</v>
      </c>
      <c r="H186" s="42" t="str">
        <f>IFERROR(__xludf.DUMMYFUNCTION("""COMPUTED_VALUE"""),"Quest: Up Where They Walk")</f>
        <v>Quest: Up Where They Walk</v>
      </c>
      <c r="I186" s="45"/>
    </row>
    <row r="187">
      <c r="A187" s="41" t="str">
        <f>IFERROR(__xludf.DUMMYFUNCTION("""COMPUTED_VALUE"""),"Lightning Lance")</f>
        <v>Lightning Lance</v>
      </c>
      <c r="B187" s="31" t="str">
        <f>IFERROR(__xludf.DUMMYFUNCTION("""COMPUTED_VALUE"""),"Attack
Parry %
Agility")</f>
        <v>Attack
Parry %
Agility</v>
      </c>
      <c r="C187" s="31" t="str">
        <f>IFERROR(__xludf.DUMMYFUNCTION("""COMPUTED_VALUE"""),"85
2
10")</f>
        <v>85
2
10</v>
      </c>
      <c r="D187" s="31" t="str">
        <f>IFERROR(__xludf.DUMMYFUNCTION("""COMPUTED_VALUE"""),"90
2
11")</f>
        <v>90
2
11</v>
      </c>
      <c r="E187" s="31" t="str">
        <f>IFERROR(__xludf.DUMMYFUNCTION("""COMPUTED_VALUE"""),"95
2
12")</f>
        <v>95
2
12</v>
      </c>
      <c r="F187" s="31" t="str">
        <f>IFERROR(__xludf.DUMMYFUNCTION("""COMPUTED_VALUE"""),"101
2
13")</f>
        <v>101
2
13</v>
      </c>
      <c r="G187" s="31" t="str">
        <f>IFERROR(__xludf.DUMMYFUNCTION("""COMPUTED_VALUE"""),"Will deal lightning damage when attacking")</f>
        <v>Will deal lightning damage when attacking</v>
      </c>
      <c r="H187" s="41" t="str">
        <f>IFERROR(__xludf.DUMMYFUNCTION("""COMPUTED_VALUE"""),"Puerto Valor Casino: 75000
Recipe: Electrifying Equipment")</f>
        <v>Puerto Valor Casino: 75000
Recipe: Electrifying Equipment</v>
      </c>
      <c r="I187" s="41" t="str">
        <f>IFERROR(__xludf.DUMMYFUNCTION("""COMPUTED_VALUE"""),"Gold Ore: 3
Thunderball: 1
Magic Beast Horn: 1")</f>
        <v>Gold Ore: 3
Thunderball: 1
Magic Beast Horn: 1</v>
      </c>
    </row>
    <row r="188">
      <c r="A188" s="42" t="str">
        <f>IFERROR(__xludf.DUMMYFUNCTION("""COMPUTED_VALUE"""),"Platinum Lance")</f>
        <v>Platinum Lance</v>
      </c>
      <c r="B188" s="30" t="str">
        <f>IFERROR(__xludf.DUMMYFUNCTION("""COMPUTED_VALUE"""),"Attack
Parry %
Charm")</f>
        <v>Attack
Parry %
Charm</v>
      </c>
      <c r="C188" s="30" t="str">
        <f>IFERROR(__xludf.DUMMYFUNCTION("""COMPUTED_VALUE"""),"92
2
32")</f>
        <v>92
2
32</v>
      </c>
      <c r="D188" s="30" t="str">
        <f>IFERROR(__xludf.DUMMYFUNCTION("""COMPUTED_VALUE"""),"96
2
34")</f>
        <v>96
2
34</v>
      </c>
      <c r="E188" s="30" t="str">
        <f>IFERROR(__xludf.DUMMYFUNCTION("""COMPUTED_VALUE"""),"101
2
36")</f>
        <v>101
2
36</v>
      </c>
      <c r="F188" s="30" t="str">
        <f>IFERROR(__xludf.DUMMYFUNCTION("""COMPUTED_VALUE"""),"106
2
38")</f>
        <v>106
2
38</v>
      </c>
      <c r="G188" s="30" t="str">
        <f>IFERROR(__xludf.DUMMYFUNCTION("""COMPUTED_VALUE"""),"--")</f>
        <v>--</v>
      </c>
      <c r="H188" s="42" t="str">
        <f>IFERROR(__xludf.DUMMYFUNCTION("""COMPUTED_VALUE"""),"Recipe: Platinum Power
Rare: Orc King, Honeyhead Horknight")</f>
        <v>Recipe: Platinum Power
Rare: Orc King, Honeyhead Horknight</v>
      </c>
      <c r="I188" s="42" t="str">
        <f>IFERROR(__xludf.DUMMYFUNCTION("""COMPUTED_VALUE"""),"Platinum Ore: 3
Silver Ore: 2
Blue Eye: 1")</f>
        <v>Platinum Ore: 3
Silver Ore: 2
Blue Eye: 1</v>
      </c>
    </row>
    <row r="189">
      <c r="A189" s="41" t="str">
        <f>IFERROR(__xludf.DUMMYFUNCTION("""COMPUTED_VALUE"""),"Storm Spear")</f>
        <v>Storm Spear</v>
      </c>
      <c r="B189" s="31" t="str">
        <f>IFERROR(__xludf.DUMMYFUNCTION("""COMPUTED_VALUE"""),"Attack
Parry %
Agility")</f>
        <v>Attack
Parry %
Agility</v>
      </c>
      <c r="C189" s="31" t="str">
        <f>IFERROR(__xludf.DUMMYFUNCTION("""COMPUTED_VALUE"""),"97
2
12")</f>
        <v>97
2
12</v>
      </c>
      <c r="D189" s="31" t="str">
        <f>IFERROR(__xludf.DUMMYFUNCTION("""COMPUTED_VALUE"""),"102
2
13")</f>
        <v>102
2
13</v>
      </c>
      <c r="E189" s="31" t="str">
        <f>IFERROR(__xludf.DUMMYFUNCTION("""COMPUTED_VALUE"""),"108
2
14")</f>
        <v>108
2
14</v>
      </c>
      <c r="F189" s="31" t="str">
        <f>IFERROR(__xludf.DUMMYFUNCTION("""COMPUTED_VALUE"""),"114
2
15")</f>
        <v>114
2
15</v>
      </c>
      <c r="G189" s="31" t="str">
        <f>IFERROR(__xludf.DUMMYFUNCTION("""COMPUTED_VALUE"""),"Will deal lightning damage when attacking")</f>
        <v>Will deal lightning damage when attacking</v>
      </c>
      <c r="H189" s="41" t="str">
        <f>IFERROR(__xludf.DUMMYFUNCTION("""COMPUTED_VALUE"""),"Octagonia, Lonalulu: 12000
Rare: Scourgette")</f>
        <v>Octagonia, Lonalulu: 12000
Rare: Scourgette</v>
      </c>
      <c r="I189" s="46"/>
    </row>
    <row r="190">
      <c r="A190" s="42" t="str">
        <f>IFERROR(__xludf.DUMMYFUNCTION("""COMPUTED_VALUE"""),"Demon Spear")</f>
        <v>Demon Spear</v>
      </c>
      <c r="B190" s="30" t="str">
        <f>IFERROR(__xludf.DUMMYFUNCTION("""COMPUTED_VALUE"""),"Attack
Parry %")</f>
        <v>Attack
Parry %</v>
      </c>
      <c r="C190" s="30" t="str">
        <f>IFERROR(__xludf.DUMMYFUNCTION("""COMPUTED_VALUE"""),"101
2")</f>
        <v>101
2</v>
      </c>
      <c r="D190" s="30" t="str">
        <f>IFERROR(__xludf.DUMMYFUNCTION("""COMPUTED_VALUE"""),"106
2")</f>
        <v>106
2</v>
      </c>
      <c r="E190" s="30" t="str">
        <f>IFERROR(__xludf.DUMMYFUNCTION("""COMPUTED_VALUE"""),"111
2")</f>
        <v>111
2</v>
      </c>
      <c r="F190" s="30" t="str">
        <f>IFERROR(__xludf.DUMMYFUNCTION("""COMPUTED_VALUE"""),"116
2")</f>
        <v>116
2</v>
      </c>
      <c r="G190" s="30" t="str">
        <f>IFERROR(__xludf.DUMMYFUNCTION("""COMPUTED_VALUE"""),"4% chance to instantly kill enemies")</f>
        <v>4% chance to instantly kill enemies</v>
      </c>
      <c r="H190" s="42" t="str">
        <f>IFERROR(__xludf.DUMMYFUNCTION("""COMPUTED_VALUE"""),"Recipe: The Devil's in the Details")</f>
        <v>Recipe: The Devil's in the Details</v>
      </c>
      <c r="I190" s="42" t="str">
        <f>IFERROR(__xludf.DUMMYFUNCTION("""COMPUTED_VALUE"""),"Platinum Ore: 2
Fatalistick: 2
Blue Eye: 1")</f>
        <v>Platinum Ore: 2
Fatalistick: 2
Blue Eye: 1</v>
      </c>
    </row>
    <row r="191">
      <c r="A191" s="41" t="str">
        <f>IFERROR(__xludf.DUMMYFUNCTION("""COMPUTED_VALUE"""),"Full Fathom Fork")</f>
        <v>Full Fathom Fork</v>
      </c>
      <c r="B191" s="31" t="str">
        <f>IFERROR(__xludf.DUMMYFUNCTION("""COMPUTED_VALUE"""),"Attack
Parry %")</f>
        <v>Attack
Parry %</v>
      </c>
      <c r="C191" s="31" t="str">
        <f>IFERROR(__xludf.DUMMYFUNCTION("""COMPUTED_VALUE"""),"108
2")</f>
        <v>108
2</v>
      </c>
      <c r="D191" s="31" t="str">
        <f>IFERROR(__xludf.DUMMYFUNCTION("""COMPUTED_VALUE"""),"113
2")</f>
        <v>113
2</v>
      </c>
      <c r="E191" s="31" t="str">
        <f>IFERROR(__xludf.DUMMYFUNCTION("""COMPUTED_VALUE"""),"118
2")</f>
        <v>118
2</v>
      </c>
      <c r="F191" s="31" t="str">
        <f>IFERROR(__xludf.DUMMYFUNCTION("""COMPUTED_VALUE"""),"123
2")</f>
        <v>123
2</v>
      </c>
      <c r="G191" s="31" t="str">
        <f>IFERROR(__xludf.DUMMYFUNCTION("""COMPUTED_VALUE"""),"10% chance to beguile nature enemies")</f>
        <v>10% chance to beguile nature enemies</v>
      </c>
      <c r="H191" s="41" t="str">
        <f>IFERROR(__xludf.DUMMYFUNCTION("""COMPUTED_VALUE"""),"Recipe: Secrets of the Sunken Spirit")</f>
        <v>Recipe: Secrets of the Sunken Spirit</v>
      </c>
      <c r="I191" s="41" t="str">
        <f>IFERROR(__xludf.DUMMYFUNCTION("""COMPUTED_VALUE"""),"Densinium: 3
Crimson Coral: 2
Rippledrops: 1
Spellbound Bough: 2")</f>
        <v>Densinium: 3
Crimson Coral: 2
Rippledrops: 1
Spellbound Bough: 2</v>
      </c>
    </row>
    <row r="192">
      <c r="A192" s="42" t="str">
        <f>IFERROR(__xludf.DUMMYFUNCTION("""COMPUTED_VALUE"""),"Paladin's Lance")</f>
        <v>Paladin's Lance</v>
      </c>
      <c r="B192" s="30" t="str">
        <f>IFERROR(__xludf.DUMMYFUNCTION("""COMPUTED_VALUE"""),"Attack
Parry %
Max MP")</f>
        <v>Attack
Parry %
Max MP</v>
      </c>
      <c r="C192" s="30" t="str">
        <f>IFERROR(__xludf.DUMMYFUNCTION("""COMPUTED_VALUE"""),"111
2
10")</f>
        <v>111
2
10</v>
      </c>
      <c r="D192" s="30" t="str">
        <f>IFERROR(__xludf.DUMMYFUNCTION("""COMPUTED_VALUE"""),"116
2
10")</f>
        <v>116
2
10</v>
      </c>
      <c r="E192" s="30" t="str">
        <f>IFERROR(__xludf.DUMMYFUNCTION("""COMPUTED_VALUE"""),"121
2
10")</f>
        <v>121
2
10</v>
      </c>
      <c r="F192" s="30" t="str">
        <f>IFERROR(__xludf.DUMMYFUNCTION("""COMPUTED_VALUE"""),"126
2
10")</f>
        <v>126
2
10</v>
      </c>
      <c r="G192" s="30" t="str">
        <f>IFERROR(__xludf.DUMMYFUNCTION("""COMPUTED_VALUE"""),"Bonus damage to Demon (10%)
Bonus damage to Undead (10%)")</f>
        <v>Bonus damage to Demon (10%)
Bonus damage to Undead (10%)</v>
      </c>
      <c r="H192" s="42" t="str">
        <f>IFERROR(__xludf.DUMMYFUNCTION("""COMPUTED_VALUE"""),"Gallopolis, Gondolia, Sniflheim, Arboria: 14000")</f>
        <v>Gallopolis, Gondolia, Sniflheim, Arboria: 14000</v>
      </c>
      <c r="I192" s="45"/>
    </row>
    <row r="193">
      <c r="A193" s="41" t="str">
        <f>IFERROR(__xludf.DUMMYFUNCTION("""COMPUTED_VALUE"""),"Metal Slime Spear")</f>
        <v>Metal Slime Spear</v>
      </c>
      <c r="B193" s="31" t="str">
        <f>IFERROR(__xludf.DUMMYFUNCTION("""COMPUTED_VALUE"""),"Attack
Parry %")</f>
        <v>Attack
Parry %</v>
      </c>
      <c r="C193" s="31" t="str">
        <f>IFERROR(__xludf.DUMMYFUNCTION("""COMPUTED_VALUE"""),"114
2")</f>
        <v>114
2</v>
      </c>
      <c r="D193" s="31" t="str">
        <f>IFERROR(__xludf.DUMMYFUNCTION("""COMPUTED_VALUE"""),"118
2")</f>
        <v>118
2</v>
      </c>
      <c r="E193" s="31" t="str">
        <f>IFERROR(__xludf.DUMMYFUNCTION("""COMPUTED_VALUE"""),"123
2")</f>
        <v>123
2</v>
      </c>
      <c r="F193" s="31" t="str">
        <f>IFERROR(__xludf.DUMMYFUNCTION("""COMPUTED_VALUE"""),"128
2")</f>
        <v>128
2</v>
      </c>
      <c r="G193" s="31" t="str">
        <f>IFERROR(__xludf.DUMMYFUNCTION("""COMPUTED_VALUE"""),"+1 damage to Metals
8% chance to beguile slime enemies")</f>
        <v>+1 damage to Metals
8% chance to beguile slime enemies</v>
      </c>
      <c r="H193" s="41" t="str">
        <f>IFERROR(__xludf.DUMMYFUNCTION("""COMPUTED_VALUE"""),"Recipe: Things to Do with Metal Goo")</f>
        <v>Recipe: Things to Do with Metal Goo</v>
      </c>
      <c r="I193" s="41" t="str">
        <f>IFERROR(__xludf.DUMMYFUNCTION("""COMPUTED_VALUE"""),"Molten Globules: 1
Slimedrop: 1
Glass Frit: 2
Twisted Talons: 2")</f>
        <v>Molten Globules: 1
Slimedrop: 1
Glass Frit: 2
Twisted Talons: 2</v>
      </c>
    </row>
    <row r="194">
      <c r="A194" s="42" t="str">
        <f>IFERROR(__xludf.DUMMYFUNCTION("""COMPUTED_VALUE"""),"Liquid Metal Spear")</f>
        <v>Liquid Metal Spear</v>
      </c>
      <c r="B194" s="30" t="str">
        <f>IFERROR(__xludf.DUMMYFUNCTION("""COMPUTED_VALUE"""),"Attack
Parry %")</f>
        <v>Attack
Parry %</v>
      </c>
      <c r="C194" s="30" t="str">
        <f>IFERROR(__xludf.DUMMYFUNCTION("""COMPUTED_VALUE"""),"126
2")</f>
        <v>126
2</v>
      </c>
      <c r="D194" s="30" t="str">
        <f>IFERROR(__xludf.DUMMYFUNCTION("""COMPUTED_VALUE"""),"130
2")</f>
        <v>130
2</v>
      </c>
      <c r="E194" s="30" t="str">
        <f>IFERROR(__xludf.DUMMYFUNCTION("""COMPUTED_VALUE"""),"136
2")</f>
        <v>136
2</v>
      </c>
      <c r="F194" s="30" t="str">
        <f>IFERROR(__xludf.DUMMYFUNCTION("""COMPUTED_VALUE"""),"143
3")</f>
        <v>143
3</v>
      </c>
      <c r="G194" s="30" t="str">
        <f>IFERROR(__xludf.DUMMYFUNCTION("""COMPUTED_VALUE"""),"+1 damage to Metals
10% chance to beguile slime enemies")</f>
        <v>+1 damage to Metals
10% chance to beguile slime enemies</v>
      </c>
      <c r="H194" s="42" t="str">
        <f>IFERROR(__xludf.DUMMYFUNCTION("""COMPUTED_VALUE"""),"Recipe: In Fine Fettle With Liquid Mettle")</f>
        <v>Recipe: In Fine Fettle With Liquid Mettle</v>
      </c>
      <c r="I194" s="42" t="str">
        <f>IFERROR(__xludf.DUMMYFUNCTION("""COMPUTED_VALUE"""),"Molten Globules: 1
Goobricant: 1
Wyrmwood: 2
Gold Nuglet")</f>
        <v>Molten Globules: 1
Goobricant: 1
Wyrmwood: 2
Gold Nuglet</v>
      </c>
    </row>
    <row r="195">
      <c r="A195" s="41" t="str">
        <f>IFERROR(__xludf.DUMMYFUNCTION("""COMPUTED_VALUE"""),"Seraph's Spear")</f>
        <v>Seraph's Spear</v>
      </c>
      <c r="B195" s="31" t="str">
        <f>IFERROR(__xludf.DUMMYFUNCTION("""COMPUTED_VALUE"""),"Attack
Parry %
Max HP")</f>
        <v>Attack
Parry %
Max HP</v>
      </c>
      <c r="C195" s="31" t="str">
        <f>IFERROR(__xludf.DUMMYFUNCTION("""COMPUTED_VALUE"""),"150
6
8")</f>
        <v>150
6
8</v>
      </c>
      <c r="D195" s="31" t="str">
        <f>IFERROR(__xludf.DUMMYFUNCTION("""COMPUTED_VALUE"""),"160
6
9")</f>
        <v>160
6
9</v>
      </c>
      <c r="E195" s="31" t="str">
        <f>IFERROR(__xludf.DUMMYFUNCTION("""COMPUTED_VALUE"""),"170
6
9")</f>
        <v>170
6
9</v>
      </c>
      <c r="F195" s="31" t="str">
        <f>IFERROR(__xludf.DUMMYFUNCTION("""COMPUTED_VALUE"""),"180
6
10")</f>
        <v>180
6
10</v>
      </c>
      <c r="G195" s="31" t="str">
        <f>IFERROR(__xludf.DUMMYFUNCTION("""COMPUTED_VALUE"""),"Grace of the Goddess at start (5/10/15/20%)")</f>
        <v>Grace of the Goddess at start (5/10/15/20%)</v>
      </c>
      <c r="H195" s="41" t="str">
        <f>IFERROR(__xludf.DUMMYFUNCTION("""COMPUTED_VALUE"""),"Havens Above, Trial Isle: 29000")</f>
        <v>Havens Above, Trial Isle: 29000</v>
      </c>
      <c r="I195" s="46"/>
    </row>
    <row r="196">
      <c r="A196" s="42" t="str">
        <f>IFERROR(__xludf.DUMMYFUNCTION("""COMPUTED_VALUE"""),"Barbarous Pole")</f>
        <v>Barbarous Pole</v>
      </c>
      <c r="B196" s="30" t="str">
        <f>IFERROR(__xludf.DUMMYFUNCTION("""COMPUTED_VALUE"""),"Attack
Parry %")</f>
        <v>Attack
Parry %</v>
      </c>
      <c r="C196" s="30" t="str">
        <f>IFERROR(__xludf.DUMMYFUNCTION("""COMPUTED_VALUE"""),"183
3")</f>
        <v>183
3</v>
      </c>
      <c r="D196" s="30" t="str">
        <f>IFERROR(__xludf.DUMMYFUNCTION("""COMPUTED_VALUE"""),"192
3")</f>
        <v>192
3</v>
      </c>
      <c r="E196" s="30" t="str">
        <f>IFERROR(__xludf.DUMMYFUNCTION("""COMPUTED_VALUE"""),"202
3")</f>
        <v>202
3</v>
      </c>
      <c r="F196" s="30" t="str">
        <f>IFERROR(__xludf.DUMMYFUNCTION("""COMPUTED_VALUE"""),"212
3")</f>
        <v>212
3</v>
      </c>
      <c r="G196" s="30" t="str">
        <f>IFERROR(__xludf.DUMMYFUNCTION("""COMPUTED_VALUE"""),"20% chance of Oomphle when battle begins
Chance to reduce enemy defense (8%)")</f>
        <v>20% chance of Oomphle when battle begins
Chance to reduce enemy defense (8%)</v>
      </c>
      <c r="H196" s="42" t="str">
        <f>IFERROR(__xludf.DUMMYFUNCTION("""COMPUTED_VALUE"""),"Rare: Horknight Watchman")</f>
        <v>Rare: Horknight Watchman</v>
      </c>
      <c r="I196" s="45"/>
    </row>
    <row r="197">
      <c r="A197" s="41" t="str">
        <f>IFERROR(__xludf.DUMMYFUNCTION("""COMPUTED_VALUE"""),"Sacred Spear")</f>
        <v>Sacred Spear</v>
      </c>
      <c r="B197" s="31" t="str">
        <f>IFERROR(__xludf.DUMMYFUNCTION("""COMPUTED_VALUE"""),"Attack
Parry %")</f>
        <v>Attack
Parry %</v>
      </c>
      <c r="C197" s="31" t="str">
        <f>IFERROR(__xludf.DUMMYFUNCTION("""COMPUTED_VALUE"""),"204
6")</f>
        <v>204
6</v>
      </c>
      <c r="D197" s="31" t="str">
        <f>IFERROR(__xludf.DUMMYFUNCTION("""COMPUTED_VALUE"""),"213
6")</f>
        <v>213
6</v>
      </c>
      <c r="E197" s="31" t="str">
        <f>IFERROR(__xludf.DUMMYFUNCTION("""COMPUTED_VALUE"""),"222
6")</f>
        <v>222
6</v>
      </c>
      <c r="F197" s="31" t="str">
        <f>IFERROR(__xludf.DUMMYFUNCTION("""COMPUTED_VALUE"""),"232
6")</f>
        <v>232
6</v>
      </c>
      <c r="G197" s="31" t="str">
        <f>IFERROR(__xludf.DUMMYFUNCTION("""COMPUTED_VALUE"""),"Alma Mater at start (5/10/15/20%)")</f>
        <v>Alma Mater at start (5/10/15/20%)</v>
      </c>
      <c r="H197" s="48" t="str">
        <f>IFERROR(__xludf.DUMMYFUNCTION("""COMPUTED_VALUE"""),"Recipe: Ye Manifold Methods of Mighty Drustan
Rare: Orc Chieftain")</f>
        <v>Recipe: Ye Manifold Methods of Mighty Drustan
Rare: Orc Chieftain</v>
      </c>
      <c r="I197" s="41" t="str">
        <f>IFERROR(__xludf.DUMMYFUNCTION("""COMPUTED_VALUE"""),"Mythril Ore: 3
Brighten Rock: 2
Spectralite: 1
Sainted Soma: 1
Saint's Ashes: 1")</f>
        <v>Mythril Ore: 3
Brighten Rock: 2
Spectralite: 1
Sainted Soma: 1
Saint's Ashes: 1</v>
      </c>
    </row>
    <row r="198">
      <c r="A198" s="42" t="str">
        <f>IFERROR(__xludf.DUMMYFUNCTION("""COMPUTED_VALUE"""),"Metal King Spear")</f>
        <v>Metal King Spear</v>
      </c>
      <c r="B198" s="30" t="str">
        <f>IFERROR(__xludf.DUMMYFUNCTION("""COMPUTED_VALUE"""),"Attack
Parry %")</f>
        <v>Attack
Parry %</v>
      </c>
      <c r="C198" s="30" t="str">
        <f>IFERROR(__xludf.DUMMYFUNCTION("""COMPUTED_VALUE"""),"221
3")</f>
        <v>221
3</v>
      </c>
      <c r="D198" s="30" t="str">
        <f>IFERROR(__xludf.DUMMYFUNCTION("""COMPUTED_VALUE"""),"231
3")</f>
        <v>231
3</v>
      </c>
      <c r="E198" s="30" t="str">
        <f>IFERROR(__xludf.DUMMYFUNCTION("""COMPUTED_VALUE"""),"241
3")</f>
        <v>241
3</v>
      </c>
      <c r="F198" s="30" t="str">
        <f>IFERROR(__xludf.DUMMYFUNCTION("""COMPUTED_VALUE"""),"251
3")</f>
        <v>251
3</v>
      </c>
      <c r="G198" s="30" t="str">
        <f>IFERROR(__xludf.DUMMYFUNCTION("""COMPUTED_VALUE"""),"+1 damage to Metals
12% chance to beguile slime enemies")</f>
        <v>+1 damage to Metals
12% chance to beguile slime enemies</v>
      </c>
      <c r="H198" s="42" t="str">
        <f>IFERROR(__xludf.DUMMYFUNCTION("""COMPUTED_VALUE"""),"Recipe: Making Things With Metal Kings")</f>
        <v>Recipe: Making Things With Metal Kings</v>
      </c>
      <c r="I198" s="42" t="str">
        <f>IFERROR(__xludf.DUMMYFUNCTION("""COMPUTED_VALUE"""),"Molten Globules: 1
Slime Crown: 1
Densinium: 1
Red Wood: 2")</f>
        <v>Molten Globules: 1
Slime Crown: 1
Densinium: 1
Red Wood: 2</v>
      </c>
    </row>
    <row r="199">
      <c r="A199" s="41" t="str">
        <f>IFERROR(__xludf.DUMMYFUNCTION("""COMPUTED_VALUE"""),"Heaven's Talon")</f>
        <v>Heaven's Talon</v>
      </c>
      <c r="B199" s="31" t="str">
        <f>IFERROR(__xludf.DUMMYFUNCTION("""COMPUTED_VALUE"""),"Attack
Parry %
Charm")</f>
        <v>Attack
Parry %
Charm</v>
      </c>
      <c r="C199" s="31" t="str">
        <f>IFERROR(__xludf.DUMMYFUNCTION("""COMPUTED_VALUE"""),"215
3
67")</f>
        <v>215
3
67</v>
      </c>
      <c r="D199" s="31" t="str">
        <f>IFERROR(__xludf.DUMMYFUNCTION("""COMPUTED_VALUE"""),"224
3
69")</f>
        <v>224
3
69</v>
      </c>
      <c r="E199" s="31" t="str">
        <f>IFERROR(__xludf.DUMMYFUNCTION("""COMPUTED_VALUE"""),"234
3
71")</f>
        <v>234
3
71</v>
      </c>
      <c r="F199" s="31" t="str">
        <f>IFERROR(__xludf.DUMMYFUNCTION("""COMPUTED_VALUE"""),"244
3
74")</f>
        <v>244
3
74</v>
      </c>
      <c r="G199" s="31" t="str">
        <f>IFERROR(__xludf.DUMMYFUNCTION("""COMPUTED_VALUE"""),"Will deal light damage when attacking
Portion of Damage Dealt Restored as HP (25%)")</f>
        <v>Will deal light damage when attacking
Portion of Damage Dealt Restored as HP (25%)</v>
      </c>
      <c r="H199" s="41" t="str">
        <f>IFERROR(__xludf.DUMMYFUNCTION("""COMPUTED_VALUE"""),"Recipe: Big Hitters of the Battlefield")</f>
        <v>Recipe: Big Hitters of the Battlefield</v>
      </c>
      <c r="I199" s="41" t="str">
        <f>IFERROR(__xludf.DUMMYFUNCTION("""COMPUTED_VALUE"""),"Orichalcum: 2
Crimsonite: 1
Serpent's Soul: 1
Saint's Ashes: 1
Red Wood: 2")</f>
        <v>Orichalcum: 2
Crimsonite: 1
Serpent's Soul: 1
Saint's Ashes: 1
Red Wood: 2</v>
      </c>
    </row>
    <row r="200">
      <c r="A200" s="42" t="str">
        <f>IFERROR(__xludf.DUMMYFUNCTION("""COMPUTED_VALUE"""),"Poker")</f>
        <v>Poker</v>
      </c>
      <c r="B200" s="30" t="str">
        <f>IFERROR(__xludf.DUMMYFUNCTION("""COMPUTED_VALUE"""),"Attack
Parry %
Charm")</f>
        <v>Attack
Parry %
Charm</v>
      </c>
      <c r="C200" s="30" t="str">
        <f>IFERROR(__xludf.DUMMYFUNCTION("""COMPUTED_VALUE"""),"130
2
49")</f>
        <v>130
2
49</v>
      </c>
      <c r="D200" s="30" t="str">
        <f>IFERROR(__xludf.DUMMYFUNCTION("""COMPUTED_VALUE"""),"--")</f>
        <v>--</v>
      </c>
      <c r="E200" s="30" t="str">
        <f>IFERROR(__xludf.DUMMYFUNCTION("""COMPUTED_VALUE"""),"--")</f>
        <v>--</v>
      </c>
      <c r="F200" s="30" t="str">
        <f>IFERROR(__xludf.DUMMYFUNCTION("""COMPUTED_VALUE"""),"--")</f>
        <v>--</v>
      </c>
      <c r="G200" s="30" t="str">
        <f>IFERROR(__xludf.DUMMYFUNCTION("""COMPUTED_VALUE"""),"Attacks can not be blocked or parried")</f>
        <v>Attacks can not be blocked or parried</v>
      </c>
      <c r="H200" s="42" t="str">
        <f>IFERROR(__xludf.DUMMYFUNCTION("""COMPUTED_VALUE"""),"Chest: Final Dungeon
Chest: First Forest: Whale Way Station (if missed)")</f>
        <v>Chest: Final Dungeon
Chest: First Forest: Whale Way Station (if missed)</v>
      </c>
      <c r="I200" s="45"/>
    </row>
    <row r="201">
      <c r="A201" s="41" t="str">
        <f>IFERROR(__xludf.DUMMYFUNCTION("""COMPUTED_VALUE"""),"Straight Poker")</f>
        <v>Straight Poker</v>
      </c>
      <c r="B201" s="31" t="str">
        <f>IFERROR(__xludf.DUMMYFUNCTION("""COMPUTED_VALUE"""),"Attack
Parry %
Charm")</f>
        <v>Attack
Parry %
Charm</v>
      </c>
      <c r="C201" s="31" t="str">
        <f>IFERROR(__xludf.DUMMYFUNCTION("""COMPUTED_VALUE"""),"167
3
62")</f>
        <v>167
3
62</v>
      </c>
      <c r="D201" s="31" t="str">
        <f>IFERROR(__xludf.DUMMYFUNCTION("""COMPUTED_VALUE"""),"--")</f>
        <v>--</v>
      </c>
      <c r="E201" s="31" t="str">
        <f>IFERROR(__xludf.DUMMYFUNCTION("""COMPUTED_VALUE"""),"--")</f>
        <v>--</v>
      </c>
      <c r="F201" s="31" t="str">
        <f>IFERROR(__xludf.DUMMYFUNCTION("""COMPUTED_VALUE"""),"--")</f>
        <v>--</v>
      </c>
      <c r="G201" s="31" t="str">
        <f>IFERROR(__xludf.DUMMYFUNCTION("""COMPUTED_VALUE"""),"Attacks can not be blocked or parried")</f>
        <v>Attacks can not be blocked or parried</v>
      </c>
      <c r="H201" s="41" t="str">
        <f>IFERROR(__xludf.DUMMYFUNCTION("""COMPUTED_VALUE"""),"Recipe: A Hero's Book of Basic Weapons")</f>
        <v>Recipe: A Hero's Book of Basic Weapons</v>
      </c>
      <c r="I201" s="41" t="str">
        <f>IFERROR(__xludf.DUMMYFUNCTION("""COMPUTED_VALUE"""),"Poker: 1
Agate of Evolution: 1
Wyrmwood: 1
Dragon Horn: 1")</f>
        <v>Poker: 1
Agate of Evolution: 1
Wyrmwood: 1
Dragon Horn: 1</v>
      </c>
    </row>
    <row r="202">
      <c r="A202" s="42" t="str">
        <f>IFERROR(__xludf.DUMMYFUNCTION("""COMPUTED_VALUE"""),"Stud Poker")</f>
        <v>Stud Poker</v>
      </c>
      <c r="B202" s="30" t="str">
        <f>IFERROR(__xludf.DUMMYFUNCTION("""COMPUTED_VALUE"""),"Attack
Parry %
Charm")</f>
        <v>Attack
Parry %
Charm</v>
      </c>
      <c r="C202" s="30" t="str">
        <f>IFERROR(__xludf.DUMMYFUNCTION("""COMPUTED_VALUE"""),"199
3
71")</f>
        <v>199
3
71</v>
      </c>
      <c r="D202" s="30" t="str">
        <f>IFERROR(__xludf.DUMMYFUNCTION("""COMPUTED_VALUE"""),"--")</f>
        <v>--</v>
      </c>
      <c r="E202" s="30" t="str">
        <f>IFERROR(__xludf.DUMMYFUNCTION("""COMPUTED_VALUE"""),"--")</f>
        <v>--</v>
      </c>
      <c r="F202" s="30" t="str">
        <f>IFERROR(__xludf.DUMMYFUNCTION("""COMPUTED_VALUE"""),"--")</f>
        <v>--</v>
      </c>
      <c r="G202" s="30" t="str">
        <f>IFERROR(__xludf.DUMMYFUNCTION("""COMPUTED_VALUE"""),"Attacks can not be blocked or parried")</f>
        <v>Attacks can not be blocked or parried</v>
      </c>
      <c r="H202" s="42" t="str">
        <f>IFERROR(__xludf.DUMMYFUNCTION("""COMPUTED_VALUE"""),"Recipe: A Hero's Book of Better Weapons")</f>
        <v>Recipe: A Hero's Book of Better Weapons</v>
      </c>
      <c r="I202" s="42" t="str">
        <f>IFERROR(__xludf.DUMMYFUNCTION("""COMPUTED_VALUE"""),"Straight Poker: 1
Agate of Evolution: 2
Wyrmwood: 2
Dragon Horn: 2
Royal Ruby: 1")</f>
        <v>Straight Poker: 1
Agate of Evolution: 2
Wyrmwood: 2
Dragon Horn: 2
Royal Ruby: 1</v>
      </c>
    </row>
    <row r="203">
      <c r="A203" s="41" t="str">
        <f>IFERROR(__xludf.DUMMYFUNCTION("""COMPUTED_VALUE"""),"Split-Pot Poker")</f>
        <v>Split-Pot Poker</v>
      </c>
      <c r="B203" s="31" t="str">
        <f>IFERROR(__xludf.DUMMYFUNCTION("""COMPUTED_VALUE"""),"Attack
Parry %
Charm")</f>
        <v>Attack
Parry %
Charm</v>
      </c>
      <c r="C203" s="31" t="str">
        <f>IFERROR(__xludf.DUMMYFUNCTION("""COMPUTED_VALUE"""),"247
3
85")</f>
        <v>247
3
85</v>
      </c>
      <c r="D203" s="31" t="str">
        <f>IFERROR(__xludf.DUMMYFUNCTION("""COMPUTED_VALUE"""),"253
3
86")</f>
        <v>253
3
86</v>
      </c>
      <c r="E203" s="31" t="str">
        <f>IFERROR(__xludf.DUMMYFUNCTION("""COMPUTED_VALUE"""),"259
3
88")</f>
        <v>259
3
88</v>
      </c>
      <c r="F203" s="31" t="str">
        <f>IFERROR(__xludf.DUMMYFUNCTION("""COMPUTED_VALUE"""),"266
3
90")</f>
        <v>266
3
90</v>
      </c>
      <c r="G203" s="31" t="str">
        <f>IFERROR(__xludf.DUMMYFUNCTION("""COMPUTED_VALUE"""),"Attacks can not be blocked or parried")</f>
        <v>Attacks can not be blocked or parried</v>
      </c>
      <c r="H203" s="41" t="str">
        <f>IFERROR(__xludf.DUMMYFUNCTION("""COMPUTED_VALUE"""),"Recipe: A Hero's Book of Brilliant Weapons")</f>
        <v>Recipe: A Hero's Book of Brilliant Weapons</v>
      </c>
      <c r="I203" s="41" t="str">
        <f>IFERROR(__xludf.DUMMYFUNCTION("""COMPUTED_VALUE"""),"Stud Poker: 1
Uber Agate of Evolution: 1
Wyrmwood: 3
Dragon Horn: 3
Crimsonite: 1")</f>
        <v>Stud Poker: 1
Uber Agate of Evolution: 1
Wyrmwood: 3
Dragon Horn: 3
Crimsonite: 1</v>
      </c>
    </row>
    <row r="204">
      <c r="A204" s="40" t="str">
        <f>IFERROR(__xludf.DUMMYFUNCTION("""COMPUTED_VALUE"""),"Whips")</f>
        <v>Whips</v>
      </c>
      <c r="B204" s="7"/>
      <c r="C204" s="7"/>
      <c r="D204" s="7"/>
      <c r="E204" s="7"/>
      <c r="F204" s="7"/>
      <c r="G204" s="7"/>
      <c r="H204" s="7"/>
      <c r="I204" s="8"/>
    </row>
    <row r="205">
      <c r="A205" s="41" t="str">
        <f>IFERROR(__xludf.DUMMYFUNCTION("""COMPUTED_VALUE"""),"Thorn Whip")</f>
        <v>Thorn Whip</v>
      </c>
      <c r="B205" s="31" t="str">
        <f>IFERROR(__xludf.DUMMYFUNCTION("""COMPUTED_VALUE"""),"Attack")</f>
        <v>Attack</v>
      </c>
      <c r="C205" s="31">
        <f>IFERROR(__xludf.DUMMYFUNCTION("""COMPUTED_VALUE"""),11.0)</f>
        <v>11</v>
      </c>
      <c r="D205" s="31">
        <f>IFERROR(__xludf.DUMMYFUNCTION("""COMPUTED_VALUE"""),14.0)</f>
        <v>14</v>
      </c>
      <c r="E205" s="31">
        <f>IFERROR(__xludf.DUMMYFUNCTION("""COMPUTED_VALUE"""),18.0)</f>
        <v>18</v>
      </c>
      <c r="F205" s="31">
        <f>IFERROR(__xludf.DUMMYFUNCTION("""COMPUTED_VALUE"""),22.0)</f>
        <v>22</v>
      </c>
      <c r="G205" s="31" t="str">
        <f>IFERROR(__xludf.DUMMYFUNCTION("""COMPUTED_VALUE"""),"--")</f>
        <v>--</v>
      </c>
      <c r="H205" s="41" t="str">
        <f>IFERROR(__xludf.DUMMYFUNCTION("""COMPUTED_VALUE"""),"Rare: Cactiball, Malicious Cactiball")</f>
        <v>Rare: Cactiball, Malicious Cactiball</v>
      </c>
      <c r="I205" s="46"/>
    </row>
    <row r="206">
      <c r="A206" s="42" t="str">
        <f>IFERROR(__xludf.DUMMYFUNCTION("""COMPUTED_VALUE"""),"Battle Whip")</f>
        <v>Battle Whip</v>
      </c>
      <c r="B206" s="30" t="str">
        <f>IFERROR(__xludf.DUMMYFUNCTION("""COMPUTED_VALUE"""),"Attack")</f>
        <v>Attack</v>
      </c>
      <c r="C206" s="30">
        <f>IFERROR(__xludf.DUMMYFUNCTION("""COMPUTED_VALUE"""),17.0)</f>
        <v>17</v>
      </c>
      <c r="D206" s="30">
        <f>IFERROR(__xludf.DUMMYFUNCTION("""COMPUTED_VALUE"""),19.0)</f>
        <v>19</v>
      </c>
      <c r="E206" s="30">
        <f>IFERROR(__xludf.DUMMYFUNCTION("""COMPUTED_VALUE"""),22.0)</f>
        <v>22</v>
      </c>
      <c r="F206" s="30">
        <f>IFERROR(__xludf.DUMMYFUNCTION("""COMPUTED_VALUE"""),25.0)</f>
        <v>25</v>
      </c>
      <c r="G206" s="30" t="str">
        <f>IFERROR(__xludf.DUMMYFUNCTION("""COMPUTED_VALUE"""),"--")</f>
        <v>--</v>
      </c>
      <c r="H206" s="42" t="str">
        <f>IFERROR(__xludf.DUMMYFUNCTION("""COMPUTED_VALUE"""),"Gallopolis, Gondolia: 960")</f>
        <v>Gallopolis, Gondolia: 960</v>
      </c>
      <c r="I206" s="45"/>
    </row>
    <row r="207">
      <c r="A207" s="41" t="str">
        <f>IFERROR(__xludf.DUMMYFUNCTION("""COMPUTED_VALUE"""),"Rosewhip")</f>
        <v>Rosewhip</v>
      </c>
      <c r="B207" s="31" t="str">
        <f>IFERROR(__xludf.DUMMYFUNCTION("""COMPUTED_VALUE"""),"Attack")</f>
        <v>Attack</v>
      </c>
      <c r="C207" s="31">
        <f>IFERROR(__xludf.DUMMYFUNCTION("""COMPUTED_VALUE"""),27.0)</f>
        <v>27</v>
      </c>
      <c r="D207" s="31">
        <f>IFERROR(__xludf.DUMMYFUNCTION("""COMPUTED_VALUE"""),28.0)</f>
        <v>28</v>
      </c>
      <c r="E207" s="31">
        <f>IFERROR(__xludf.DUMMYFUNCTION("""COMPUTED_VALUE"""),30.0)</f>
        <v>30</v>
      </c>
      <c r="F207" s="31">
        <f>IFERROR(__xludf.DUMMYFUNCTION("""COMPUTED_VALUE"""),32.0)</f>
        <v>32</v>
      </c>
      <c r="G207" s="31" t="str">
        <f>IFERROR(__xludf.DUMMYFUNCTION("""COMPUTED_VALUE"""),"4% chance to dazzle enemies
Bonus damage to Nature (10%)")</f>
        <v>4% chance to dazzle enemies
Bonus damage to Nature (10%)</v>
      </c>
      <c r="H207" s="41" t="str">
        <f>IFERROR(__xludf.DUMMYFUNCTION("""COMPUTED_VALUE"""),"Recipe: Cutting-Edge Kit
Rare: Chewlip")</f>
        <v>Recipe: Cutting-Edge Kit
Rare: Chewlip</v>
      </c>
      <c r="I207" s="41" t="str">
        <f>IFERROR(__xludf.DUMMYFUNCTION("""COMPUTED_VALUE"""),"Pink Pine: 4
Narspicious: 1
Buzzberries: 1")</f>
        <v>Pink Pine: 4
Narspicious: 1
Buzzberries: 1</v>
      </c>
    </row>
    <row r="208">
      <c r="A208" s="42" t="str">
        <f>IFERROR(__xludf.DUMMYFUNCTION("""COMPUTED_VALUE"""),"Hypnowhip")</f>
        <v>Hypnowhip</v>
      </c>
      <c r="B208" s="30" t="str">
        <f>IFERROR(__xludf.DUMMYFUNCTION("""COMPUTED_VALUE"""),"Attack")</f>
        <v>Attack</v>
      </c>
      <c r="C208" s="30">
        <f>IFERROR(__xludf.DUMMYFUNCTION("""COMPUTED_VALUE"""),30.0)</f>
        <v>30</v>
      </c>
      <c r="D208" s="30">
        <f>IFERROR(__xludf.DUMMYFUNCTION("""COMPUTED_VALUE"""),32.0)</f>
        <v>32</v>
      </c>
      <c r="E208" s="30">
        <f>IFERROR(__xludf.DUMMYFUNCTION("""COMPUTED_VALUE"""),34.0)</f>
        <v>34</v>
      </c>
      <c r="F208" s="30">
        <f>IFERROR(__xludf.DUMMYFUNCTION("""COMPUTED_VALUE"""),36.0)</f>
        <v>36</v>
      </c>
      <c r="G208" s="30" t="str">
        <f>IFERROR(__xludf.DUMMYFUNCTION("""COMPUTED_VALUE"""),"4% chance to dazzle enemies
Bonus damage to Elemental (10%)")</f>
        <v>4% chance to dazzle enemies
Bonus damage to Elemental (10%)</v>
      </c>
      <c r="H208" s="42" t="str">
        <f>IFERROR(__xludf.DUMMYFUNCTION("""COMPUTED_VALUE"""),"Octagonia: Costa Valor, Puerto Valor, L'Academie: 1600")</f>
        <v>Octagonia: Costa Valor, Puerto Valor, L'Academie: 1600</v>
      </c>
      <c r="I208" s="45"/>
    </row>
    <row r="209">
      <c r="A209" s="41" t="str">
        <f>IFERROR(__xludf.DUMMYFUNCTION("""COMPUTED_VALUE"""),"Beastly Bullwhip")</f>
        <v>Beastly Bullwhip</v>
      </c>
      <c r="B209" s="31" t="str">
        <f>IFERROR(__xludf.DUMMYFUNCTION("""COMPUTED_VALUE"""),"Attack")</f>
        <v>Attack</v>
      </c>
      <c r="C209" s="31">
        <f>IFERROR(__xludf.DUMMYFUNCTION("""COMPUTED_VALUE"""),34.0)</f>
        <v>34</v>
      </c>
      <c r="D209" s="31">
        <f>IFERROR(__xludf.DUMMYFUNCTION("""COMPUTED_VALUE"""),36.0)</f>
        <v>36</v>
      </c>
      <c r="E209" s="31">
        <f>IFERROR(__xludf.DUMMYFUNCTION("""COMPUTED_VALUE"""),38.0)</f>
        <v>38</v>
      </c>
      <c r="F209" s="31">
        <f>IFERROR(__xludf.DUMMYFUNCTION("""COMPUTED_VALUE"""),40.0)</f>
        <v>40</v>
      </c>
      <c r="G209" s="31" t="str">
        <f>IFERROR(__xludf.DUMMYFUNCTION("""COMPUTED_VALUE"""),"Bonus damage to Beast (10%)")</f>
        <v>Bonus damage to Beast (10%)</v>
      </c>
      <c r="H209" s="9" t="str">
        <f>IFERROR(__xludf.DUMMYFUNCTION("""COMPUTED_VALUE"""),"Lonalulu, Champs Sauvage: 2400
Recipe: Make a Whip-Roaring Success of Yourself")</f>
        <v>Lonalulu, Champs Sauvage: 2400
Recipe: Make a Whip-Roaring Success of Yourself</v>
      </c>
      <c r="I209" s="41" t="str">
        <f>IFERROR(__xludf.DUMMYFUNCTION("""COMPUTED_VALUE"""),"Big Bone: 1
Magic Beast Hide: 1
Magic Beast Horn: 1")</f>
        <v>Big Bone: 1
Magic Beast Hide: 1
Magic Beast Horn: 1</v>
      </c>
    </row>
    <row r="210">
      <c r="A210" s="42" t="str">
        <f>IFERROR(__xludf.DUMMYFUNCTION("""COMPUTED_VALUE"""),"Scorpion Tail")</f>
        <v>Scorpion Tail</v>
      </c>
      <c r="B210" s="30" t="str">
        <f>IFERROR(__xludf.DUMMYFUNCTION("""COMPUTED_VALUE"""),"Attack")</f>
        <v>Attack</v>
      </c>
      <c r="C210" s="30">
        <f>IFERROR(__xludf.DUMMYFUNCTION("""COMPUTED_VALUE"""),43.0)</f>
        <v>43</v>
      </c>
      <c r="D210" s="30">
        <f>IFERROR(__xludf.DUMMYFUNCTION("""COMPUTED_VALUE"""),46.0)</f>
        <v>46</v>
      </c>
      <c r="E210" s="30">
        <f>IFERROR(__xludf.DUMMYFUNCTION("""COMPUTED_VALUE"""),49.0)</f>
        <v>49</v>
      </c>
      <c r="F210" s="30">
        <f>IFERROR(__xludf.DUMMYFUNCTION("""COMPUTED_VALUE"""),53.0)</f>
        <v>53</v>
      </c>
      <c r="G210" s="30" t="str">
        <f>IFERROR(__xludf.DUMMYFUNCTION("""COMPUTED_VALUE"""),"4% chance to paralyze enemies")</f>
        <v>4% chance to paralyze enemies</v>
      </c>
      <c r="H210" s="42" t="str">
        <f>IFERROR(__xludf.DUMMYFUNCTION("""COMPUTED_VALUE"""),"Phnom Nonh: 3200
Rare: Kriller Kriller")</f>
        <v>Phnom Nonh: 3200
Rare: Kriller Kriller</v>
      </c>
      <c r="I210" s="45"/>
    </row>
    <row r="211">
      <c r="A211" s="41" t="str">
        <f>IFERROR(__xludf.DUMMYFUNCTION("""COMPUTED_VALUE"""),"Queen's Whip")</f>
        <v>Queen's Whip</v>
      </c>
      <c r="B211" s="31" t="str">
        <f>IFERROR(__xludf.DUMMYFUNCTION("""COMPUTED_VALUE"""),"Attack")</f>
        <v>Attack</v>
      </c>
      <c r="C211" s="31">
        <f>IFERROR(__xludf.DUMMYFUNCTION("""COMPUTED_VALUE"""),47.0)</f>
        <v>47</v>
      </c>
      <c r="D211" s="31">
        <f>IFERROR(__xludf.DUMMYFUNCTION("""COMPUTED_VALUE"""),50.0)</f>
        <v>50</v>
      </c>
      <c r="E211" s="31">
        <f>IFERROR(__xludf.DUMMYFUNCTION("""COMPUTED_VALUE"""),53.0)</f>
        <v>53</v>
      </c>
      <c r="F211" s="31">
        <f>IFERROR(__xludf.DUMMYFUNCTION("""COMPUTED_VALUE"""),57.0)</f>
        <v>57</v>
      </c>
      <c r="G211" s="31" t="str">
        <f>IFERROR(__xludf.DUMMYFUNCTION("""COMPUTED_VALUE"""),"Bonus damage to Humanoid (10%)")</f>
        <v>Bonus damage to Humanoid (10%)</v>
      </c>
      <c r="H211" s="9" t="str">
        <f>IFERROR(__xludf.DUMMYFUNCTION("""COMPUTED_VALUE"""),"Recipe: Lashings of Class")</f>
        <v>Recipe: Lashings of Class</v>
      </c>
      <c r="I211" s="41" t="str">
        <f>IFERROR(__xludf.DUMMYFUNCTION("""COMPUTED_VALUE"""),"Mirrorstone: 2
Narspicious: 1
Green Eye: 1")</f>
        <v>Mirrorstone: 2
Narspicious: 1
Green Eye: 1</v>
      </c>
    </row>
    <row r="212">
      <c r="A212" s="42" t="str">
        <f>IFERROR(__xludf.DUMMYFUNCTION("""COMPUTED_VALUE"""),"Dragontail Whip")</f>
        <v>Dragontail Whip</v>
      </c>
      <c r="B212" s="30" t="str">
        <f>IFERROR(__xludf.DUMMYFUNCTION("""COMPUTED_VALUE"""),"Attack")</f>
        <v>Attack</v>
      </c>
      <c r="C212" s="30">
        <f>IFERROR(__xludf.DUMMYFUNCTION("""COMPUTED_VALUE"""),50.0)</f>
        <v>50</v>
      </c>
      <c r="D212" s="30">
        <f>IFERROR(__xludf.DUMMYFUNCTION("""COMPUTED_VALUE"""),53.0)</f>
        <v>53</v>
      </c>
      <c r="E212" s="30">
        <f>IFERROR(__xludf.DUMMYFUNCTION("""COMPUTED_VALUE"""),56.0)</f>
        <v>56</v>
      </c>
      <c r="F212" s="30">
        <f>IFERROR(__xludf.DUMMYFUNCTION("""COMPUTED_VALUE"""),60.0)</f>
        <v>60</v>
      </c>
      <c r="G212" s="30" t="str">
        <f>IFERROR(__xludf.DUMMYFUNCTION("""COMPUTED_VALUE"""),"Bonus damage to Dragon (10%)")</f>
        <v>Bonus damage to Dragon (10%)</v>
      </c>
      <c r="H212" s="42" t="str">
        <f>IFERROR(__xludf.DUMMYFUNCTION("""COMPUTED_VALUE"""),"Sniflheim: 4000
Recipe: Dragony Designs
Rare: Blue Dragon")</f>
        <v>Sniflheim: 4000
Recipe: Dragony Designs
Rare: Blue Dragon</v>
      </c>
      <c r="I212" s="42" t="str">
        <f>IFERROR(__xludf.DUMMYFUNCTION("""COMPUTED_VALUE"""),"Dragon Horn: 1
Dragon Hide: 1
Green Eye: 1")</f>
        <v>Dragon Horn: 1
Dragon Hide: 1
Green Eye: 1</v>
      </c>
    </row>
    <row r="213">
      <c r="A213" s="41" t="str">
        <f>IFERROR(__xludf.DUMMYFUNCTION("""COMPUTED_VALUE"""),"Demon Whip")</f>
        <v>Demon Whip</v>
      </c>
      <c r="B213" s="31" t="str">
        <f>IFERROR(__xludf.DUMMYFUNCTION("""COMPUTED_VALUE"""),"Attack
Charm")</f>
        <v>Attack
Charm</v>
      </c>
      <c r="C213" s="31" t="str">
        <f>IFERROR(__xludf.DUMMYFUNCTION("""COMPUTED_VALUE"""),"72
16")</f>
        <v>72
16</v>
      </c>
      <c r="D213" s="31" t="str">
        <f>IFERROR(__xludf.DUMMYFUNCTION("""COMPUTED_VALUE"""),"74
17")</f>
        <v>74
17</v>
      </c>
      <c r="E213" s="31" t="str">
        <f>IFERROR(__xludf.DUMMYFUNCTION("""COMPUTED_VALUE"""),"78
18")</f>
        <v>78
18</v>
      </c>
      <c r="F213" s="31" t="str">
        <f>IFERROR(__xludf.DUMMYFUNCTION("""COMPUTED_VALUE"""),"82
20")</f>
        <v>82
20</v>
      </c>
      <c r="G213" s="31" t="str">
        <f>IFERROR(__xludf.DUMMYFUNCTION("""COMPUTED_VALUE"""),"4% chance to beguile demons")</f>
        <v>4% chance to beguile demons</v>
      </c>
      <c r="H213" s="41" t="str">
        <f>IFERROR(__xludf.DUMMYFUNCTION("""COMPUTED_VALUE"""),"Puerto Valor, Phnom Nonh: 6500
Recipe: The Devil's in the Details")</f>
        <v>Puerto Valor, Phnom Nonh: 6500
Recipe: The Devil's in the Details</v>
      </c>
      <c r="I213" s="41" t="str">
        <f>IFERROR(__xludf.DUMMYFUNCTION("""COMPUTED_VALUE"""),"Platinum Ore: 2
Grubby Bandage: 3
Purple Eye: 2")</f>
        <v>Platinum Ore: 2
Grubby Bandage: 3
Purple Eye: 2</v>
      </c>
    </row>
    <row r="214">
      <c r="A214" s="42" t="str">
        <f>IFERROR(__xludf.DUMMYFUNCTION("""COMPUTED_VALUE"""),"Empress's Whip")</f>
        <v>Empress's Whip</v>
      </c>
      <c r="B214" s="30" t="str">
        <f>IFERROR(__xludf.DUMMYFUNCTION("""COMPUTED_VALUE"""),"Attack")</f>
        <v>Attack</v>
      </c>
      <c r="C214" s="30">
        <f>IFERROR(__xludf.DUMMYFUNCTION("""COMPUTED_VALUE"""),76.0)</f>
        <v>76</v>
      </c>
      <c r="D214" s="30">
        <f>IFERROR(__xludf.DUMMYFUNCTION("""COMPUTED_VALUE"""),79.0)</f>
        <v>79</v>
      </c>
      <c r="E214" s="30">
        <f>IFERROR(__xludf.DUMMYFUNCTION("""COMPUTED_VALUE"""),83.0)</f>
        <v>83</v>
      </c>
      <c r="F214" s="30">
        <f>IFERROR(__xludf.DUMMYFUNCTION("""COMPUTED_VALUE"""),87.0)</f>
        <v>87</v>
      </c>
      <c r="G214" s="30" t="str">
        <f>IFERROR(__xludf.DUMMYFUNCTION("""COMPUTED_VALUE"""),"Bonus damage to Humanoid (10%)")</f>
        <v>Bonus damage to Humanoid (10%)</v>
      </c>
      <c r="H214" s="42" t="str">
        <f>IFERROR(__xludf.DUMMYFUNCTION("""COMPUTED_VALUE"""),"Octagonia, Lonalulu: 8100
Rare: Gnashturtium")</f>
        <v>Octagonia, Lonalulu: 8100
Rare: Gnashturtium</v>
      </c>
      <c r="I214" s="45"/>
    </row>
    <row r="215">
      <c r="A215" s="41" t="str">
        <f>IFERROR(__xludf.DUMMYFUNCTION("""COMPUTED_VALUE"""),"Beelzebarb")</f>
        <v>Beelzebarb</v>
      </c>
      <c r="B215" s="31" t="str">
        <f>IFERROR(__xludf.DUMMYFUNCTION("""COMPUTED_VALUE"""),"Attack
Critical %")</f>
        <v>Attack
Critical %</v>
      </c>
      <c r="C215" s="31" t="str">
        <f>IFERROR(__xludf.DUMMYFUNCTION("""COMPUTED_VALUE"""),"81
1")</f>
        <v>81
1</v>
      </c>
      <c r="D215" s="31" t="str">
        <f>IFERROR(__xludf.DUMMYFUNCTION("""COMPUTED_VALUE"""),"86
2")</f>
        <v>86
2</v>
      </c>
      <c r="E215" s="31" t="str">
        <f>IFERROR(__xludf.DUMMYFUNCTION("""COMPUTED_VALUE"""),"90
2")</f>
        <v>90
2</v>
      </c>
      <c r="F215" s="31" t="str">
        <f>IFERROR(__xludf.DUMMYFUNCTION("""COMPUTED_VALUE"""),"94
2")</f>
        <v>94
2</v>
      </c>
      <c r="G215" s="31" t="str">
        <f>IFERROR(__xludf.DUMMYFUNCTION("""COMPUTED_VALUE"""),"4% chance to beguile humanoids")</f>
        <v>4% chance to beguile humanoids</v>
      </c>
      <c r="H215" s="41" t="str">
        <f>IFERROR(__xludf.DUMMYFUNCTION("""COMPUTED_VALUE"""),"Gallopolis: 10000")</f>
        <v>Gallopolis: 10000</v>
      </c>
      <c r="I215" s="46"/>
    </row>
    <row r="216">
      <c r="A216" s="42" t="str">
        <f>IFERROR(__xludf.DUMMYFUNCTION("""COMPUTED_VALUE"""),"Triple-Tine Whip")</f>
        <v>Triple-Tine Whip</v>
      </c>
      <c r="B216" s="30" t="str">
        <f>IFERROR(__xludf.DUMMYFUNCTION("""COMPUTED_VALUE"""),"Attack
Max MP")</f>
        <v>Attack
Max MP</v>
      </c>
      <c r="C216" s="30" t="str">
        <f>IFERROR(__xludf.DUMMYFUNCTION("""COMPUTED_VALUE"""),"84
10")</f>
        <v>84
10</v>
      </c>
      <c r="D216" s="30" t="str">
        <f>IFERROR(__xludf.DUMMYFUNCTION("""COMPUTED_VALUE"""),"87
10")</f>
        <v>87
10</v>
      </c>
      <c r="E216" s="30" t="str">
        <f>IFERROR(__xludf.DUMMYFUNCTION("""COMPUTED_VALUE"""),"91
10")</f>
        <v>91
10</v>
      </c>
      <c r="F216" s="30" t="str">
        <f>IFERROR(__xludf.DUMMYFUNCTION("""COMPUTED_VALUE"""),"95
10")</f>
        <v>95
10</v>
      </c>
      <c r="G216" s="30" t="str">
        <f>IFERROR(__xludf.DUMMYFUNCTION("""COMPUTED_VALUE"""),"Bonus damage to Nature (10%)
Bonus damage to Undead (10%)")</f>
        <v>Bonus damage to Nature (10%)
Bonus damage to Undead (10%)</v>
      </c>
      <c r="H216" s="42" t="str">
        <f>IFERROR(__xludf.DUMMYFUNCTION("""COMPUTED_VALUE"""),"Gondolia, Nautica: 11300")</f>
        <v>Gondolia, Nautica: 11300</v>
      </c>
      <c r="I216" s="45"/>
    </row>
    <row r="217">
      <c r="A217" s="41" t="str">
        <f>IFERROR(__xludf.DUMMYFUNCTION("""COMPUTED_VALUE"""),"Malevolash")</f>
        <v>Malevolash</v>
      </c>
      <c r="B217" s="31" t="str">
        <f>IFERROR(__xludf.DUMMYFUNCTION("""COMPUTED_VALUE"""),"Attack")</f>
        <v>Attack</v>
      </c>
      <c r="C217" s="31">
        <f>IFERROR(__xludf.DUMMYFUNCTION("""COMPUTED_VALUE"""),87.0)</f>
        <v>87</v>
      </c>
      <c r="D217" s="31">
        <f>IFERROR(__xludf.DUMMYFUNCTION("""COMPUTED_VALUE"""),90.0)</f>
        <v>90</v>
      </c>
      <c r="E217" s="31">
        <f>IFERROR(__xludf.DUMMYFUNCTION("""COMPUTED_VALUE"""),94.0)</f>
        <v>94</v>
      </c>
      <c r="F217" s="31">
        <f>IFERROR(__xludf.DUMMYFUNCTION("""COMPUTED_VALUE"""),98.0)</f>
        <v>98</v>
      </c>
      <c r="G217" s="31" t="str">
        <f>IFERROR(__xludf.DUMMYFUNCTION("""COMPUTED_VALUE"""),"4% chance to paralyze enemie
chance to reduce enemy attack (6%)")</f>
        <v>4% chance to paralyze enemie
chance to reduce enemy attack (6%)</v>
      </c>
      <c r="H217" s="41" t="str">
        <f>IFERROR(__xludf.DUMMYFUNCTION("""COMPUTED_VALUE"""),"Sniflheim, Snaerfelt: 14000")</f>
        <v>Sniflheim, Snaerfelt: 14000</v>
      </c>
      <c r="I217" s="46"/>
    </row>
    <row r="218">
      <c r="A218" s="42" t="str">
        <f>IFERROR(__xludf.DUMMYFUNCTION("""COMPUTED_VALUE"""),"Archdemon Whip")</f>
        <v>Archdemon Whip</v>
      </c>
      <c r="B218" s="30" t="str">
        <f>IFERROR(__xludf.DUMMYFUNCTION("""COMPUTED_VALUE"""),"Attack
Charm")</f>
        <v>Attack
Charm</v>
      </c>
      <c r="C218" s="30" t="str">
        <f>IFERROR(__xludf.DUMMYFUNCTION("""COMPUTED_VALUE"""),"96
27")</f>
        <v>96
27</v>
      </c>
      <c r="D218" s="30" t="str">
        <f>IFERROR(__xludf.DUMMYFUNCTION("""COMPUTED_VALUE"""),"100
28")</f>
        <v>100
28</v>
      </c>
      <c r="E218" s="30" t="str">
        <f>IFERROR(__xludf.DUMMYFUNCTION("""COMPUTED_VALUE"""),"104
29")</f>
        <v>104
29</v>
      </c>
      <c r="F218" s="30" t="str">
        <f>IFERROR(__xludf.DUMMYFUNCTION("""COMPUTED_VALUE"""),"109
31")</f>
        <v>109
31</v>
      </c>
      <c r="G218" s="30" t="str">
        <f>IFERROR(__xludf.DUMMYFUNCTION("""COMPUTED_VALUE"""),"6% chance to beguile demons")</f>
        <v>6% chance to beguile demons</v>
      </c>
      <c r="H218" s="42" t="str">
        <f>IFERROR(__xludf.DUMMYFUNCTION("""COMPUTED_VALUE"""),"Phnom Nonh: 17500")</f>
        <v>Phnom Nonh: 17500</v>
      </c>
      <c r="I218" s="45"/>
    </row>
    <row r="219">
      <c r="A219" s="41" t="str">
        <f>IFERROR(__xludf.DUMMYFUNCTION("""COMPUTED_VALUE"""),"Goddess Whip")</f>
        <v>Goddess Whip</v>
      </c>
      <c r="B219" s="31" t="str">
        <f>IFERROR(__xludf.DUMMYFUNCTION("""COMPUTED_VALUE"""),"Attack
Charm")</f>
        <v>Attack
Charm</v>
      </c>
      <c r="C219" s="31" t="str">
        <f>IFERROR(__xludf.DUMMYFUNCTION("""COMPUTED_VALUE"""),"135
37")</f>
        <v>135
37</v>
      </c>
      <c r="D219" s="31" t="str">
        <f>IFERROR(__xludf.DUMMYFUNCTION("""COMPUTED_VALUE"""),"142
38")</f>
        <v>142
38</v>
      </c>
      <c r="E219" s="31" t="str">
        <f>IFERROR(__xludf.DUMMYFUNCTION("""COMPUTED_VALUE"""),"149
39")</f>
        <v>149
39</v>
      </c>
      <c r="F219" s="31" t="str">
        <f>IFERROR(__xludf.DUMMYFUNCTION("""COMPUTED_VALUE"""),"156
41")</f>
        <v>156
41</v>
      </c>
      <c r="G219" s="31" t="str">
        <f>IFERROR(__xludf.DUMMYFUNCTION("""COMPUTED_VALUE"""),"Bonus damage to Humanoid (10%)")</f>
        <v>Bonus damage to Humanoid (10%)</v>
      </c>
      <c r="H219" s="41" t="str">
        <f>IFERROR(__xludf.DUMMYFUNCTION("""COMPUTED_VALUE"""),"Trial Isle: 28000")</f>
        <v>Trial Isle: 28000</v>
      </c>
      <c r="I219" s="46"/>
    </row>
    <row r="220">
      <c r="A220" s="42" t="str">
        <f>IFERROR(__xludf.DUMMYFUNCTION("""COMPUTED_VALUE"""),"Anchor of Rancour")</f>
        <v>Anchor of Rancour</v>
      </c>
      <c r="B220" s="30" t="str">
        <f>IFERROR(__xludf.DUMMYFUNCTION("""COMPUTED_VALUE"""),"Attack
Critical %")</f>
        <v>Attack
Critical %</v>
      </c>
      <c r="C220" s="30" t="str">
        <f>IFERROR(__xludf.DUMMYFUNCTION("""COMPUTED_VALUE"""),"155
3")</f>
        <v>155
3</v>
      </c>
      <c r="D220" s="30" t="str">
        <f>IFERROR(__xludf.DUMMYFUNCTION("""COMPUTED_VALUE"""),"162
3")</f>
        <v>162
3</v>
      </c>
      <c r="E220" s="30" t="str">
        <f>IFERROR(__xludf.DUMMYFUNCTION("""COMPUTED_VALUE"""),"169
3")</f>
        <v>169
3</v>
      </c>
      <c r="F220" s="30" t="str">
        <f>IFERROR(__xludf.DUMMYFUNCTION("""COMPUTED_VALUE"""),"176
4")</f>
        <v>176
4</v>
      </c>
      <c r="G220" s="47" t="str">
        <f>IFERROR(__xludf.DUMMYFUNCTION("""COMPUTED_VALUE"""),"10% chance of Oomph when battle begins")</f>
        <v>10% chance of Oomph when battle begins</v>
      </c>
      <c r="H220" s="42" t="str">
        <f>IFERROR(__xludf.DUMMYFUNCTION("""COMPUTED_VALUE"""),"Cobblestone: 36000")</f>
        <v>Cobblestone: 36000</v>
      </c>
      <c r="I220" s="45"/>
    </row>
    <row r="221">
      <c r="A221" s="41" t="str">
        <f>IFERROR(__xludf.DUMMYFUNCTION("""COMPUTED_VALUE"""),"Hellbeast's Leash")</f>
        <v>Hellbeast's Leash</v>
      </c>
      <c r="B221" s="31" t="str">
        <f>IFERROR(__xludf.DUMMYFUNCTION("""COMPUTED_VALUE"""),"Attack")</f>
        <v>Attack</v>
      </c>
      <c r="C221" s="31">
        <f>IFERROR(__xludf.DUMMYFUNCTION("""COMPUTED_VALUE"""),158.0)</f>
        <v>158</v>
      </c>
      <c r="D221" s="31">
        <f>IFERROR(__xludf.DUMMYFUNCTION("""COMPUTED_VALUE"""),165.0)</f>
        <v>165</v>
      </c>
      <c r="E221" s="31">
        <f>IFERROR(__xludf.DUMMYFUNCTION("""COMPUTED_VALUE"""),172.0)</f>
        <v>172</v>
      </c>
      <c r="F221" s="31">
        <f>IFERROR(__xludf.DUMMYFUNCTION("""COMPUTED_VALUE"""),180.0)</f>
        <v>180</v>
      </c>
      <c r="G221" s="31" t="str">
        <f>IFERROR(__xludf.DUMMYFUNCTION("""COMPUTED_VALUE"""),"6% chance to freeze enemies with fear
Bonus damage to Dragon (20%)")</f>
        <v>6% chance to freeze enemies with fear
Bonus damage to Dragon (20%)</v>
      </c>
      <c r="H221" s="41" t="str">
        <f>IFERROR(__xludf.DUMMYFUNCTION("""COMPUTED_VALUE"""),"Recipe: Big Hitters of the Battlefield")</f>
        <v>Recipe: Big Hitters of the Battlefield</v>
      </c>
      <c r="I221" s="41" t="str">
        <f>IFERROR(__xludf.DUMMYFUNCTION("""COMPUTED_VALUE"""),"Orichalcum: 2
Crimsonite: 2
Chronocrystal: 1
Gold Bar: 1
Black Tear: 1")</f>
        <v>Orichalcum: 2
Crimsonite: 2
Chronocrystal: 1
Gold Bar: 1
Black Tear: 1</v>
      </c>
    </row>
    <row r="222">
      <c r="A222" s="42" t="str">
        <f>IFERROR(__xludf.DUMMYFUNCTION("""COMPUTED_VALUE"""),"Gringham Whip")</f>
        <v>Gringham Whip</v>
      </c>
      <c r="B222" s="30" t="str">
        <f>IFERROR(__xludf.DUMMYFUNCTION("""COMPUTED_VALUE"""),"Attack
Charm")</f>
        <v>Attack
Charm</v>
      </c>
      <c r="C222" s="30" t="str">
        <f>IFERROR(__xludf.DUMMYFUNCTION("""COMPUTED_VALUE"""),"96
22")</f>
        <v>96
22</v>
      </c>
      <c r="D222" s="30" t="str">
        <f>IFERROR(__xludf.DUMMYFUNCTION("""COMPUTED_VALUE"""),"--")</f>
        <v>--</v>
      </c>
      <c r="E222" s="30" t="str">
        <f>IFERROR(__xludf.DUMMYFUNCTION("""COMPUTED_VALUE"""),"--")</f>
        <v>--</v>
      </c>
      <c r="F222" s="30" t="str">
        <f>IFERROR(__xludf.DUMMYFUNCTION("""COMPUTED_VALUE"""),"--")</f>
        <v>--</v>
      </c>
      <c r="G222" s="30" t="str">
        <f>IFERROR(__xludf.DUMMYFUNCTION("""COMPUTED_VALUE"""),"Full damage will be dealt to all enemies")</f>
        <v>Full damage will be dealt to all enemies</v>
      </c>
      <c r="H222" s="42" t="str">
        <f>IFERROR(__xludf.DUMMYFUNCTION("""COMPUTED_VALUE"""),"Octagonia Casino: 750000")</f>
        <v>Octagonia Casino: 750000</v>
      </c>
      <c r="I222" s="45"/>
    </row>
    <row r="223">
      <c r="A223" s="41" t="str">
        <f>IFERROR(__xludf.DUMMYFUNCTION("""COMPUTED_VALUE"""),"Mega Gringham Whip")</f>
        <v>Mega Gringham Whip</v>
      </c>
      <c r="B223" s="31" t="str">
        <f>IFERROR(__xludf.DUMMYFUNCTION("""COMPUTED_VALUE"""),"Attack
Charm")</f>
        <v>Attack
Charm</v>
      </c>
      <c r="C223" s="31" t="str">
        <f>IFERROR(__xludf.DUMMYFUNCTION("""COMPUTED_VALUE"""),"123
27")</f>
        <v>123
27</v>
      </c>
      <c r="D223" s="31" t="str">
        <f>IFERROR(__xludf.DUMMYFUNCTION("""COMPUTED_VALUE"""),"--")</f>
        <v>--</v>
      </c>
      <c r="E223" s="31" t="str">
        <f>IFERROR(__xludf.DUMMYFUNCTION("""COMPUTED_VALUE"""),"--")</f>
        <v>--</v>
      </c>
      <c r="F223" s="31" t="str">
        <f>IFERROR(__xludf.DUMMYFUNCTION("""COMPUTED_VALUE"""),"--")</f>
        <v>--</v>
      </c>
      <c r="G223" s="31" t="str">
        <f>IFERROR(__xludf.DUMMYFUNCTION("""COMPUTED_VALUE"""),"Full damage will be dealt to all enemies")</f>
        <v>Full damage will be dealt to all enemies</v>
      </c>
      <c r="H223" s="41" t="str">
        <f>IFERROR(__xludf.DUMMYFUNCTION("""COMPUTED_VALUE"""),"Recipe: A Hero's Book of Basic Weapons")</f>
        <v>Recipe: A Hero's Book of Basic Weapons</v>
      </c>
      <c r="I223" s="41" t="str">
        <f>IFERROR(__xludf.DUMMYFUNCTION("""COMPUTED_VALUE"""),"Gringham Whip: 1
Agate of Evolution: 1
Wyrmwood: 1
Dragon Hide: 1")</f>
        <v>Gringham Whip: 1
Agate of Evolution: 1
Wyrmwood: 1
Dragon Hide: 1</v>
      </c>
    </row>
    <row r="224">
      <c r="A224" s="42" t="str">
        <f>IFERROR(__xludf.DUMMYFUNCTION("""COMPUTED_VALUE"""),"Giga Gringham Whip")</f>
        <v>Giga Gringham Whip</v>
      </c>
      <c r="B224" s="30" t="str">
        <f>IFERROR(__xludf.DUMMYFUNCTION("""COMPUTED_VALUE"""),"Attack
Charm")</f>
        <v>Attack
Charm</v>
      </c>
      <c r="C224" s="30" t="str">
        <f>IFERROR(__xludf.DUMMYFUNCTION("""COMPUTED_VALUE"""),"147
31")</f>
        <v>147
31</v>
      </c>
      <c r="D224" s="30" t="str">
        <f>IFERROR(__xludf.DUMMYFUNCTION("""COMPUTED_VALUE"""),"--")</f>
        <v>--</v>
      </c>
      <c r="E224" s="30" t="str">
        <f>IFERROR(__xludf.DUMMYFUNCTION("""COMPUTED_VALUE"""),"--")</f>
        <v>--</v>
      </c>
      <c r="F224" s="30" t="str">
        <f>IFERROR(__xludf.DUMMYFUNCTION("""COMPUTED_VALUE"""),"--")</f>
        <v>--</v>
      </c>
      <c r="G224" s="30" t="str">
        <f>IFERROR(__xludf.DUMMYFUNCTION("""COMPUTED_VALUE"""),"Full damage will be dealt to all enemies")</f>
        <v>Full damage will be dealt to all enemies</v>
      </c>
      <c r="H224" s="42" t="str">
        <f>IFERROR(__xludf.DUMMYFUNCTION("""COMPUTED_VALUE"""),"Recipe: A Hero's Book of Better Weapons")</f>
        <v>Recipe: A Hero's Book of Better Weapons</v>
      </c>
      <c r="I224" s="42" t="str">
        <f>IFERROR(__xludf.DUMMYFUNCTION("""COMPUTED_VALUE"""),"Mega Gringham Whip: 1
Agate of Evolution: 2
Wyrmwood: 2
Dragon Hide: 2
Equable Emerald:1")</f>
        <v>Mega Gringham Whip: 1
Agate of Evolution: 2
Wyrmwood: 2
Dragon Hide: 2
Equable Emerald:1</v>
      </c>
    </row>
    <row r="225">
      <c r="A225" s="41" t="str">
        <f>IFERROR(__xludf.DUMMYFUNCTION("""COMPUTED_VALUE"""),"Uber Gringham Whip")</f>
        <v>Uber Gringham Whip</v>
      </c>
      <c r="B225" s="31" t="str">
        <f>IFERROR(__xludf.DUMMYFUNCTION("""COMPUTED_VALUE"""),"Attack
Charm")</f>
        <v>Attack
Charm</v>
      </c>
      <c r="C225" s="31" t="str">
        <f>IFERROR(__xludf.DUMMYFUNCTION("""COMPUTED_VALUE"""),"182
38")</f>
        <v>182
38</v>
      </c>
      <c r="D225" s="31" t="str">
        <f>IFERROR(__xludf.DUMMYFUNCTION("""COMPUTED_VALUE"""),"186
38")</f>
        <v>186
38</v>
      </c>
      <c r="E225" s="31" t="str">
        <f>IFERROR(__xludf.DUMMYFUNCTION("""COMPUTED_VALUE"""),"191
39")</f>
        <v>191
39</v>
      </c>
      <c r="F225" s="31" t="str">
        <f>IFERROR(__xludf.DUMMYFUNCTION("""COMPUTED_VALUE"""),"196
40")</f>
        <v>196
40</v>
      </c>
      <c r="G225" s="31" t="str">
        <f>IFERROR(__xludf.DUMMYFUNCTION("""COMPUTED_VALUE"""),"Full damage will be dealt to all enemies")</f>
        <v>Full damage will be dealt to all enemies</v>
      </c>
      <c r="H225" s="41" t="str">
        <f>IFERROR(__xludf.DUMMYFUNCTION("""COMPUTED_VALUE"""),"Recipe: A Hero's Book of Brilliant Weapons")</f>
        <v>Recipe: A Hero's Book of Brilliant Weapons</v>
      </c>
      <c r="I225" s="41" t="str">
        <f>IFERROR(__xludf.DUMMYFUNCTION("""COMPUTED_VALUE"""),"Giga Gringham Whip: 1
Uber Agate of Evolution: 1
Wyrmwood: 3
Dragon Hide: 3
Black Tear: 1")</f>
        <v>Giga Gringham Whip: 1
Uber Agate of Evolution: 1
Wyrmwood: 3
Dragon Hide: 3
Black Tear: 1</v>
      </c>
    </row>
    <row r="226">
      <c r="A226" s="40" t="str">
        <f>IFERROR(__xludf.DUMMYFUNCTION("""COMPUTED_VALUE"""),"Claws")</f>
        <v>Claws</v>
      </c>
      <c r="B226" s="7"/>
      <c r="C226" s="7"/>
      <c r="D226" s="7"/>
      <c r="E226" s="7"/>
      <c r="F226" s="7"/>
      <c r="G226" s="7"/>
      <c r="H226" s="7"/>
      <c r="I226" s="8"/>
    </row>
    <row r="227">
      <c r="A227" s="41" t="str">
        <f>IFERROR(__xludf.DUMMYFUNCTION("""COMPUTED_VALUE"""),"Iron Claws")</f>
        <v>Iron Claws</v>
      </c>
      <c r="B227" s="31" t="str">
        <f>IFERROR(__xludf.DUMMYFUNCTION("""COMPUTED_VALUE"""),"Attack
Critical %")</f>
        <v>Attack
Critical %</v>
      </c>
      <c r="C227" s="31" t="str">
        <f>IFERROR(__xludf.DUMMYFUNCTION("""COMPUTED_VALUE"""),"15
2")</f>
        <v>15
2</v>
      </c>
      <c r="D227" s="31" t="str">
        <f>IFERROR(__xludf.DUMMYFUNCTION("""COMPUTED_VALUE"""),"17
2")</f>
        <v>17
2</v>
      </c>
      <c r="E227" s="31" t="str">
        <f>IFERROR(__xludf.DUMMYFUNCTION("""COMPUTED_VALUE"""),"19
2")</f>
        <v>19
2</v>
      </c>
      <c r="F227" s="31" t="str">
        <f>IFERROR(__xludf.DUMMYFUNCTION("""COMPUTED_VALUE"""),"21
2")</f>
        <v>21
2</v>
      </c>
      <c r="G227" s="31" t="str">
        <f>IFERROR(__xludf.DUMMYFUNCTION("""COMPUTED_VALUE"""),"--")</f>
        <v>--</v>
      </c>
      <c r="H227" s="41" t="str">
        <f>IFERROR(__xludf.DUMMYFUNCTION("""COMPUTED_VALUE"""),"Common: Hades Condor, Rare: Mermaniac")</f>
        <v>Common: Hades Condor, Rare: Mermaniac</v>
      </c>
      <c r="I227" s="46"/>
    </row>
    <row r="228">
      <c r="A228" s="42" t="str">
        <f>IFERROR(__xludf.DUMMYFUNCTION("""COMPUTED_VALUE"""),"Silver Claws")</f>
        <v>Silver Claws</v>
      </c>
      <c r="B228" s="30" t="str">
        <f>IFERROR(__xludf.DUMMYFUNCTION("""COMPUTED_VALUE"""),"Attack
Critical %
Charm")</f>
        <v>Attack
Critical %
Charm</v>
      </c>
      <c r="C228" s="30" t="str">
        <f>IFERROR(__xludf.DUMMYFUNCTION("""COMPUTED_VALUE"""),"23
2
10")</f>
        <v>23
2
10</v>
      </c>
      <c r="D228" s="30" t="str">
        <f>IFERROR(__xludf.DUMMYFUNCTION("""COMPUTED_VALUE"""),"25
2
11")</f>
        <v>25
2
11</v>
      </c>
      <c r="E228" s="30" t="str">
        <f>IFERROR(__xludf.DUMMYFUNCTION("""COMPUTED_VALUE"""),"27
2
13")</f>
        <v>27
2
13</v>
      </c>
      <c r="F228" s="30" t="str">
        <f>IFERROR(__xludf.DUMMYFUNCTION("""COMPUTED_VALUE"""),"29
2
15")</f>
        <v>29
2
15</v>
      </c>
      <c r="G228" s="30" t="str">
        <f>IFERROR(__xludf.DUMMYFUNCTION("""COMPUTED_VALUE"""),"--")</f>
        <v>--</v>
      </c>
      <c r="H228" s="42" t="str">
        <f>IFERROR(__xludf.DUMMYFUNCTION("""COMPUTED_VALUE"""),"Lonalulu, Phnom NonhL 2800")</f>
        <v>Lonalulu, Phnom NonhL 2800</v>
      </c>
      <c r="I228" s="45"/>
    </row>
    <row r="229">
      <c r="A229" s="41" t="str">
        <f>IFERROR(__xludf.DUMMYFUNCTION("""COMPUTED_VALUE"""),"Infernails")</f>
        <v>Infernails</v>
      </c>
      <c r="B229" s="31" t="str">
        <f>IFERROR(__xludf.DUMMYFUNCTION("""COMPUTED_VALUE"""),"Attack
Critical %
Charm")</f>
        <v>Attack
Critical %
Charm</v>
      </c>
      <c r="C229" s="31" t="str">
        <f>IFERROR(__xludf.DUMMYFUNCTION("""COMPUTED_VALUE"""),"27
2
13")</f>
        <v>27
2
13</v>
      </c>
      <c r="D229" s="31" t="str">
        <f>IFERROR(__xludf.DUMMYFUNCTION("""COMPUTED_VALUE"""),"31
2
15")</f>
        <v>31
2
15</v>
      </c>
      <c r="E229" s="31" t="str">
        <f>IFERROR(__xludf.DUMMYFUNCTION("""COMPUTED_VALUE"""),"35
2
18")</f>
        <v>35
2
18</v>
      </c>
      <c r="F229" s="31" t="str">
        <f>IFERROR(__xludf.DUMMYFUNCTION("""COMPUTED_VALUE"""),"39
2
21")</f>
        <v>39
2
21</v>
      </c>
      <c r="G229" s="31" t="str">
        <f>IFERROR(__xludf.DUMMYFUNCTION("""COMPUTED_VALUE"""),"8% chance to beguile humanoids")</f>
        <v>8% chance to beguile humanoids</v>
      </c>
      <c r="H229" s="41" t="str">
        <f>IFERROR(__xludf.DUMMYFUNCTION("""COMPUTED_VALUE"""),"Puerto Valor Casino: 7500
Rare: Fruity Succubat")</f>
        <v>Puerto Valor Casino: 7500
Rare: Fruity Succubat</v>
      </c>
      <c r="I229" s="46"/>
    </row>
    <row r="230">
      <c r="A230" s="42" t="str">
        <f>IFERROR(__xludf.DUMMYFUNCTION("""COMPUTED_VALUE"""),"Steel Claws")</f>
        <v>Steel Claws</v>
      </c>
      <c r="B230" s="30" t="str">
        <f>IFERROR(__xludf.DUMMYFUNCTION("""COMPUTED_VALUE"""),"Attack
Critical %")</f>
        <v>Attack
Critical %</v>
      </c>
      <c r="C230" s="30" t="str">
        <f>IFERROR(__xludf.DUMMYFUNCTION("""COMPUTED_VALUE"""),"29
2")</f>
        <v>29
2</v>
      </c>
      <c r="D230" s="30" t="str">
        <f>IFERROR(__xludf.DUMMYFUNCTION("""COMPUTED_VALUE"""),"31
2")</f>
        <v>31
2</v>
      </c>
      <c r="E230" s="30" t="str">
        <f>IFERROR(__xludf.DUMMYFUNCTION("""COMPUTED_VALUE"""),"33
2")</f>
        <v>33
2</v>
      </c>
      <c r="F230" s="30" t="str">
        <f>IFERROR(__xludf.DUMMYFUNCTION("""COMPUTED_VALUE"""),"35
2")</f>
        <v>35
2</v>
      </c>
      <c r="G230" s="30" t="str">
        <f>IFERROR(__xludf.DUMMYFUNCTION("""COMPUTED_VALUE"""),"--")</f>
        <v>--</v>
      </c>
      <c r="H230" s="42" t="str">
        <f>IFERROR(__xludf.DUMMYFUNCTION("""COMPUTED_VALUE"""),"Sniflheim: 3650")</f>
        <v>Sniflheim: 3650</v>
      </c>
      <c r="I230" s="45"/>
    </row>
    <row r="231">
      <c r="A231" s="41" t="str">
        <f>IFERROR(__xludf.DUMMYFUNCTION("""COMPUTED_VALUE"""),"Crow's Claws")</f>
        <v>Crow's Claws</v>
      </c>
      <c r="B231" s="31" t="str">
        <f>IFERROR(__xludf.DUMMYFUNCTION("""COMPUTED_VALUE"""),"Attack
Critical %")</f>
        <v>Attack
Critical %</v>
      </c>
      <c r="C231" s="31" t="str">
        <f>IFERROR(__xludf.DUMMYFUNCTION("""COMPUTED_VALUE"""),"31
2")</f>
        <v>31
2</v>
      </c>
      <c r="D231" s="31" t="str">
        <f>IFERROR(__xludf.DUMMYFUNCTION("""COMPUTED_VALUE"""),"33
2")</f>
        <v>33
2</v>
      </c>
      <c r="E231" s="31" t="str">
        <f>IFERROR(__xludf.DUMMYFUNCTION("""COMPUTED_VALUE"""),"35
2")</f>
        <v>35
2</v>
      </c>
      <c r="F231" s="31" t="str">
        <f>IFERROR(__xludf.DUMMYFUNCTION("""COMPUTED_VALUE"""),"37
2")</f>
        <v>37
2</v>
      </c>
      <c r="G231" s="31" t="str">
        <f>IFERROR(__xludf.DUMMYFUNCTION("""COMPUTED_VALUE"""),"8% chance to beguile birds")</f>
        <v>8% chance to beguile birds</v>
      </c>
      <c r="H231" s="41" t="str">
        <f>IFERROR(__xludf.DUMMYFUNCTION("""COMPUTED_VALUE"""),"Recipe: Build Better Birds' Feet")</f>
        <v>Recipe: Build Better Birds' Feet</v>
      </c>
      <c r="I231" s="41" t="str">
        <f>IFERROR(__xludf.DUMMYFUNCTION("""COMPUTED_VALUE"""),"Platinum Ore: 1
Flurry Feather: 2
Twisted Talons: 1")</f>
        <v>Platinum Ore: 1
Flurry Feather: 2
Twisted Talons: 1</v>
      </c>
    </row>
    <row r="232">
      <c r="A232" s="42" t="str">
        <f>IFERROR(__xludf.DUMMYFUNCTION("""COMPUTED_VALUE"""),"Platinum Claws")</f>
        <v>Platinum Claws</v>
      </c>
      <c r="B232" s="30" t="str">
        <f>IFERROR(__xludf.DUMMYFUNCTION("""COMPUTED_VALUE"""),"Attack
Critical %
Charm")</f>
        <v>Attack
Critical %
Charm</v>
      </c>
      <c r="C232" s="30" t="str">
        <f>IFERROR(__xludf.DUMMYFUNCTION("""COMPUTED_VALUE"""),"36
3
19")</f>
        <v>36
3
19</v>
      </c>
      <c r="D232" s="30" t="str">
        <f>IFERROR(__xludf.DUMMYFUNCTION("""COMPUTED_VALUE"""),"38
3
20")</f>
        <v>38
3
20</v>
      </c>
      <c r="E232" s="30" t="str">
        <f>IFERROR(__xludf.DUMMYFUNCTION("""COMPUTED_VALUE"""),"40
3
21")</f>
        <v>40
3
21</v>
      </c>
      <c r="F232" s="30" t="str">
        <f>IFERROR(__xludf.DUMMYFUNCTION("""COMPUTED_VALUE"""),"43
3
23")</f>
        <v>43
3
23</v>
      </c>
      <c r="G232" s="30" t="str">
        <f>IFERROR(__xludf.DUMMYFUNCTION("""COMPUTED_VALUE"""),"--")</f>
        <v>--</v>
      </c>
      <c r="H232" s="42" t="str">
        <f>IFERROR(__xludf.DUMMYFUNCTION("""COMPUTED_VALUE"""),"Recipe: Platinum Power")</f>
        <v>Recipe: Platinum Power</v>
      </c>
      <c r="I232" s="42" t="str">
        <f>IFERROR(__xludf.DUMMYFUNCTION("""COMPUTED_VALUE"""),"Platinum Ore: 2
Iron Ore: 2
Yellow Eye: 1")</f>
        <v>Platinum Ore: 2
Iron Ore: 2
Yellow Eye: 1</v>
      </c>
    </row>
    <row r="233">
      <c r="A233" s="41" t="str">
        <f>IFERROR(__xludf.DUMMYFUNCTION("""COMPUTED_VALUE"""),"Kestrel Claws")</f>
        <v>Kestrel Claws</v>
      </c>
      <c r="B233" s="31" t="str">
        <f>IFERROR(__xludf.DUMMYFUNCTION("""COMPUTED_VALUE"""),"Attack
Critical %
Agility")</f>
        <v>Attack
Critical %
Agility</v>
      </c>
      <c r="C233" s="31" t="str">
        <f>IFERROR(__xludf.DUMMYFUNCTION("""COMPUTED_VALUE"""),"41
3
8")</f>
        <v>41
3
8</v>
      </c>
      <c r="D233" s="31" t="str">
        <f>IFERROR(__xludf.DUMMYFUNCTION("""COMPUTED_VALUE"""),"43
3
9")</f>
        <v>43
3
9</v>
      </c>
      <c r="E233" s="31" t="str">
        <f>IFERROR(__xludf.DUMMYFUNCTION("""COMPUTED_VALUE"""),"45
3
9")</f>
        <v>45
3
9</v>
      </c>
      <c r="F233" s="31" t="str">
        <f>IFERROR(__xludf.DUMMYFUNCTION("""COMPUTED_VALUE"""),"48
3
10")</f>
        <v>48
3
10</v>
      </c>
      <c r="G233" s="31" t="str">
        <f>IFERROR(__xludf.DUMMYFUNCTION("""COMPUTED_VALUE"""),"10% chance to beguile birds")</f>
        <v>10% chance to beguile birds</v>
      </c>
      <c r="H233" s="41" t="str">
        <f>IFERROR(__xludf.DUMMYFUNCTION("""COMPUTED_VALUE"""),"Puerto Valor, Phnom Nonh: 5700")</f>
        <v>Puerto Valor, Phnom Nonh: 5700</v>
      </c>
      <c r="I233" s="46"/>
    </row>
    <row r="234">
      <c r="A234" s="42" t="str">
        <f>IFERROR(__xludf.DUMMYFUNCTION("""COMPUTED_VALUE"""),"Cobra Claws")</f>
        <v>Cobra Claws</v>
      </c>
      <c r="B234" s="30" t="str">
        <f>IFERROR(__xludf.DUMMYFUNCTION("""COMPUTED_VALUE"""),"Attack
Critical %")</f>
        <v>Attack
Critical %</v>
      </c>
      <c r="C234" s="30" t="str">
        <f>IFERROR(__xludf.DUMMYFUNCTION("""COMPUTED_VALUE"""),"47
3")</f>
        <v>47
3</v>
      </c>
      <c r="D234" s="30" t="str">
        <f>IFERROR(__xludf.DUMMYFUNCTION("""COMPUTED_VALUE"""),"49
3")</f>
        <v>49
3</v>
      </c>
      <c r="E234" s="30" t="str">
        <f>IFERROR(__xludf.DUMMYFUNCTION("""COMPUTED_VALUE"""),"51
3")</f>
        <v>51
3</v>
      </c>
      <c r="F234" s="30" t="str">
        <f>IFERROR(__xludf.DUMMYFUNCTION("""COMPUTED_VALUE"""),"54
3")</f>
        <v>54
3</v>
      </c>
      <c r="G234" s="30" t="str">
        <f>IFERROR(__xludf.DUMMYFUNCTION("""COMPUTED_VALUE"""),"8% chance to poison enemies")</f>
        <v>8% chance to poison enemies</v>
      </c>
      <c r="H234" s="42" t="str">
        <f>IFERROR(__xludf.DUMMYFUNCTION("""COMPUTED_VALUE"""),"Octagonia, Lonalulu: 666-")</f>
        <v>Octagonia, Lonalulu: 666-</v>
      </c>
      <c r="I234" s="45"/>
    </row>
    <row r="235">
      <c r="A235" s="41" t="str">
        <f>IFERROR(__xludf.DUMMYFUNCTION("""COMPUTED_VALUE"""),"Ice Claws")</f>
        <v>Ice Claws</v>
      </c>
      <c r="B235" s="31" t="str">
        <f>IFERROR(__xludf.DUMMYFUNCTION("""COMPUTED_VALUE"""),"Attack
Critical %")</f>
        <v>Attack
Critical %</v>
      </c>
      <c r="C235" s="31" t="str">
        <f>IFERROR(__xludf.DUMMYFUNCTION("""COMPUTED_VALUE"""),"49
3")</f>
        <v>49
3</v>
      </c>
      <c r="D235" s="31" t="str">
        <f>IFERROR(__xludf.DUMMYFUNCTION("""COMPUTED_VALUE"""),"51
3")</f>
        <v>51
3</v>
      </c>
      <c r="E235" s="31" t="str">
        <f>IFERROR(__xludf.DUMMYFUNCTION("""COMPUTED_VALUE"""),"53
3")</f>
        <v>53
3</v>
      </c>
      <c r="F235" s="31" t="str">
        <f>IFERROR(__xludf.DUMMYFUNCTION("""COMPUTED_VALUE"""),"56
3")</f>
        <v>56
3</v>
      </c>
      <c r="G235" s="31" t="str">
        <f>IFERROR(__xludf.DUMMYFUNCTION("""COMPUTED_VALUE"""),"Ice damage to group when used as item")</f>
        <v>Ice damage to group when used as item</v>
      </c>
      <c r="H235" s="41" t="str">
        <f>IFERROR(__xludf.DUMMYFUNCTION("""COMPUTED_VALUE"""),"Sniflheim, Snaerfelt: 7200
Recipe: Snowfield Styles")</f>
        <v>Sniflheim, Snaerfelt: 7200
Recipe: Snowfield Styles</v>
      </c>
      <c r="I235" s="41" t="str">
        <f>IFERROR(__xludf.DUMMYFUNCTION("""COMPUTED_VALUE"""),"Silver Ore: 2
Ice Crystal: 2
Avabranche: 2
Savvy Sapphire: 1")</f>
        <v>Silver Ore: 2
Ice Crystal: 2
Avabranche: 2
Savvy Sapphire: 1</v>
      </c>
    </row>
    <row r="236">
      <c r="A236" s="42" t="str">
        <f>IFERROR(__xludf.DUMMYFUNCTION("""COMPUTED_VALUE"""),"Kite Claws")</f>
        <v>Kite Claws</v>
      </c>
      <c r="B236" s="30" t="str">
        <f>IFERROR(__xludf.DUMMYFUNCTION("""COMPUTED_VALUE"""),"Attack
Critical %
Agility")</f>
        <v>Attack
Critical %
Agility</v>
      </c>
      <c r="C236" s="30" t="str">
        <f>IFERROR(__xludf.DUMMYFUNCTION("""COMPUTED_VALUE"""),"51
3
14")</f>
        <v>51
3
14</v>
      </c>
      <c r="D236" s="30" t="str">
        <f>IFERROR(__xludf.DUMMYFUNCTION("""COMPUTED_VALUE"""),"53
3
15")</f>
        <v>53
3
15</v>
      </c>
      <c r="E236" s="30" t="str">
        <f>IFERROR(__xludf.DUMMYFUNCTION("""COMPUTED_VALUE"""),"55
3
15")</f>
        <v>55
3
15</v>
      </c>
      <c r="F236" s="30" t="str">
        <f>IFERROR(__xludf.DUMMYFUNCTION("""COMPUTED_VALUE"""),"58
3
16")</f>
        <v>58
3
16</v>
      </c>
      <c r="G236" s="30" t="str">
        <f>IFERROR(__xludf.DUMMYFUNCTION("""COMPUTED_VALUE"""),"12% chance to beguile birds")</f>
        <v>12% chance to beguile birds</v>
      </c>
      <c r="H236" s="42" t="str">
        <f>IFERROR(__xludf.DUMMYFUNCTION("""COMPUTED_VALUE"""),"Rare: Vicious Garuda")</f>
        <v>Rare: Vicious Garuda</v>
      </c>
      <c r="I236" s="45"/>
    </row>
    <row r="237">
      <c r="A237" s="41" t="str">
        <f>IFERROR(__xludf.DUMMYFUNCTION("""COMPUTED_VALUE"""),"Dragon Claws")</f>
        <v>Dragon Claws</v>
      </c>
      <c r="B237" s="31" t="str">
        <f>IFERROR(__xludf.DUMMYFUNCTION("""COMPUTED_VALUE"""),"Attack
Critical %")</f>
        <v>Attack
Critical %</v>
      </c>
      <c r="C237" s="31" t="str">
        <f>IFERROR(__xludf.DUMMYFUNCTION("""COMPUTED_VALUE"""),"52
4")</f>
        <v>52
4</v>
      </c>
      <c r="D237" s="31" t="str">
        <f>IFERROR(__xludf.DUMMYFUNCTION("""COMPUTED_VALUE"""),"54
4")</f>
        <v>54
4</v>
      </c>
      <c r="E237" s="31" t="str">
        <f>IFERROR(__xludf.DUMMYFUNCTION("""COMPUTED_VALUE"""),"56
4")</f>
        <v>56
4</v>
      </c>
      <c r="F237" s="31" t="str">
        <f>IFERROR(__xludf.DUMMYFUNCTION("""COMPUTED_VALUE"""),"59
4")</f>
        <v>59
4</v>
      </c>
      <c r="G237" s="31" t="str">
        <f>IFERROR(__xludf.DUMMYFUNCTION("""COMPUTED_VALUE"""),"Bonus damage to Dragon (10%)")</f>
        <v>Bonus damage to Dragon (10%)</v>
      </c>
      <c r="H237" s="41" t="str">
        <f>IFERROR(__xludf.DUMMYFUNCTION("""COMPUTED_VALUE"""),"Heliodor, Gondolia, Nautica, Arboria, Angri-La: 8500")</f>
        <v>Heliodor, Gondolia, Nautica, Arboria, Angri-La: 8500</v>
      </c>
      <c r="I237" s="46"/>
    </row>
    <row r="238">
      <c r="A238" s="42" t="str">
        <f>IFERROR(__xludf.DUMMYFUNCTION("""COMPUTED_VALUE"""),"Crimson Claws")</f>
        <v>Crimson Claws</v>
      </c>
      <c r="B238" s="30" t="str">
        <f>IFERROR(__xludf.DUMMYFUNCTION("""COMPUTED_VALUE"""),"Attack
Critical %")</f>
        <v>Attack
Critical %</v>
      </c>
      <c r="C238" s="30" t="str">
        <f>IFERROR(__xludf.DUMMYFUNCTION("""COMPUTED_VALUE"""),"54
5")</f>
        <v>54
5</v>
      </c>
      <c r="D238" s="30" t="str">
        <f>IFERROR(__xludf.DUMMYFUNCTION("""COMPUTED_VALUE"""),"56
6")</f>
        <v>56
6</v>
      </c>
      <c r="E238" s="30" t="str">
        <f>IFERROR(__xludf.DUMMYFUNCTION("""COMPUTED_VALUE"""),"58
7")</f>
        <v>58
7</v>
      </c>
      <c r="F238" s="30" t="str">
        <f>IFERROR(__xludf.DUMMYFUNCTION("""COMPUTED_VALUE"""),"60
8")</f>
        <v>60
8</v>
      </c>
      <c r="G238" s="30" t="str">
        <f>IFERROR(__xludf.DUMMYFUNCTION("""COMPUTED_VALUE"""),"Bonus damage to Elemental (10%)")</f>
        <v>Bonus damage to Elemental (10%)</v>
      </c>
      <c r="H238" s="42" t="str">
        <f>IFERROR(__xludf.DUMMYFUNCTION("""COMPUTED_VALUE"""),"Horse Racing: Silver Cup (Difficult)
Rare: Sootbonce, Smogbonnet")</f>
        <v>Horse Racing: Silver Cup (Difficult)
Rare: Sootbonce, Smogbonnet</v>
      </c>
      <c r="I238" s="45"/>
    </row>
    <row r="239">
      <c r="A239" s="41" t="str">
        <f>IFERROR(__xludf.DUMMYFUNCTION("""COMPUTED_VALUE"""),"Beast Claws")</f>
        <v>Beast Claws</v>
      </c>
      <c r="B239" s="31" t="str">
        <f>IFERROR(__xludf.DUMMYFUNCTION("""COMPUTED_VALUE"""),"Attack
Critical %")</f>
        <v>Attack
Critical %</v>
      </c>
      <c r="C239" s="31" t="str">
        <f>IFERROR(__xludf.DUMMYFUNCTION("""COMPUTED_VALUE"""),"53
4")</f>
        <v>53
4</v>
      </c>
      <c r="D239" s="31" t="str">
        <f>IFERROR(__xludf.DUMMYFUNCTION("""COMPUTED_VALUE"""),"55
4")</f>
        <v>55
4</v>
      </c>
      <c r="E239" s="31" t="str">
        <f>IFERROR(__xludf.DUMMYFUNCTION("""COMPUTED_VALUE"""),"57
4")</f>
        <v>57
4</v>
      </c>
      <c r="F239" s="31" t="str">
        <f>IFERROR(__xludf.DUMMYFUNCTION("""COMPUTED_VALUE"""),"59
4")</f>
        <v>59
4</v>
      </c>
      <c r="G239" s="31" t="str">
        <f>IFERROR(__xludf.DUMMYFUNCTION("""COMPUTED_VALUE"""),"Bonus damage to Bird (10%)
Bonus damage to Beast (10%)")</f>
        <v>Bonus damage to Bird (10%)
Bonus damage to Beast (10%)</v>
      </c>
      <c r="H239" s="41" t="str">
        <f>IFERROR(__xludf.DUMMYFUNCTION("""COMPUTED_VALUE"""),"Gallopolis: 10000")</f>
        <v>Gallopolis: 10000</v>
      </c>
      <c r="I239" s="46"/>
    </row>
    <row r="240">
      <c r="A240" s="42" t="str">
        <f>IFERROR(__xludf.DUMMYFUNCTION("""COMPUTED_VALUE"""),"Fire Claws")</f>
        <v>Fire Claws</v>
      </c>
      <c r="B240" s="30" t="str">
        <f>IFERROR(__xludf.DUMMYFUNCTION("""COMPUTED_VALUE"""),"Attack
Critical %")</f>
        <v>Attack
Critical %</v>
      </c>
      <c r="C240" s="30" t="str">
        <f>IFERROR(__xludf.DUMMYFUNCTION("""COMPUTED_VALUE"""),"56
4")</f>
        <v>56
4</v>
      </c>
      <c r="D240" s="30" t="str">
        <f>IFERROR(__xludf.DUMMYFUNCTION("""COMPUTED_VALUE"""),"58
4")</f>
        <v>58
4</v>
      </c>
      <c r="E240" s="30" t="str">
        <f>IFERROR(__xludf.DUMMYFUNCTION("""COMPUTED_VALUE"""),"60
4")</f>
        <v>60
4</v>
      </c>
      <c r="F240" s="30" t="str">
        <f>IFERROR(__xludf.DUMMYFUNCTION("""COMPUTED_VALUE"""),"62
4")</f>
        <v>62
4</v>
      </c>
      <c r="G240" s="30" t="str">
        <f>IFERROR(__xludf.DUMMYFUNCTION("""COMPUTED_VALUE"""),"Fire damage to one enemy when used as item")</f>
        <v>Fire damage to one enemy when used as item</v>
      </c>
      <c r="H240" s="42" t="str">
        <f>IFERROR(__xludf.DUMMYFUNCTION("""COMPUTED_VALUE"""),"Hotto: 11000")</f>
        <v>Hotto: 11000</v>
      </c>
      <c r="I240" s="45"/>
    </row>
    <row r="241">
      <c r="A241" s="41" t="str">
        <f>IFERROR(__xludf.DUMMYFUNCTION("""COMPUTED_VALUE"""),"King Cobra Claws")</f>
        <v>King Cobra Claws</v>
      </c>
      <c r="B241" s="31" t="str">
        <f>IFERROR(__xludf.DUMMYFUNCTION("""COMPUTED_VALUE"""),"Attack
Critical %")</f>
        <v>Attack
Critical %</v>
      </c>
      <c r="C241" s="31" t="str">
        <f>IFERROR(__xludf.DUMMYFUNCTION("""COMPUTED_VALUE"""),"57
4")</f>
        <v>57
4</v>
      </c>
      <c r="D241" s="31" t="str">
        <f>IFERROR(__xludf.DUMMYFUNCTION("""COMPUTED_VALUE"""),"59
4")</f>
        <v>59
4</v>
      </c>
      <c r="E241" s="31" t="str">
        <f>IFERROR(__xludf.DUMMYFUNCTION("""COMPUTED_VALUE"""),"61
4")</f>
        <v>61
4</v>
      </c>
      <c r="F241" s="31" t="str">
        <f>IFERROR(__xludf.DUMMYFUNCTION("""COMPUTED_VALUE"""),"63
4")</f>
        <v>63
4</v>
      </c>
      <c r="G241" s="31" t="str">
        <f>IFERROR(__xludf.DUMMYFUNCTION("""COMPUTED_VALUE"""),"10% chance to envenom enemies")</f>
        <v>10% chance to envenom enemies</v>
      </c>
      <c r="H241" s="41" t="str">
        <f>IFERROR(__xludf.DUMMYFUNCTION("""COMPUTED_VALUE"""),"Rare: Hooper Trooper, Supreme Succubat")</f>
        <v>Rare: Hooper Trooper, Supreme Succubat</v>
      </c>
      <c r="I241" s="46"/>
    </row>
    <row r="242">
      <c r="A242" s="42" t="str">
        <f>IFERROR(__xludf.DUMMYFUNCTION("""COMPUTED_VALUE"""),"Combusticlaws")</f>
        <v>Combusticlaws</v>
      </c>
      <c r="B242" s="30" t="str">
        <f>IFERROR(__xludf.DUMMYFUNCTION("""COMPUTED_VALUE"""),"Attack
Critical %")</f>
        <v>Attack
Critical %</v>
      </c>
      <c r="C242" s="30" t="str">
        <f>IFERROR(__xludf.DUMMYFUNCTION("""COMPUTED_VALUE"""),"66
4")</f>
        <v>66
4</v>
      </c>
      <c r="D242" s="30" t="str">
        <f>IFERROR(__xludf.DUMMYFUNCTION("""COMPUTED_VALUE"""),"69
4")</f>
        <v>69
4</v>
      </c>
      <c r="E242" s="30" t="str">
        <f>IFERROR(__xludf.DUMMYFUNCTION("""COMPUTED_VALUE"""),"73
4")</f>
        <v>73
4</v>
      </c>
      <c r="F242" s="30" t="str">
        <f>IFERROR(__xludf.DUMMYFUNCTION("""COMPUTED_VALUE"""),"79
4")</f>
        <v>79
4</v>
      </c>
      <c r="G242" s="30" t="str">
        <f>IFERROR(__xludf.DUMMYFUNCTION("""COMPUTED_VALUE"""),"Fire damage to one enemy when used as item")</f>
        <v>Fire damage to one enemy when used as item</v>
      </c>
      <c r="H242" s="42" t="str">
        <f>IFERROR(__xludf.DUMMYFUNCTION("""COMPUTED_VALUE"""),"Hotto: 15000
Recipe: Sizzling Styles")</f>
        <v>Hotto: 15000
Recipe: Sizzling Styles</v>
      </c>
      <c r="I242" s="42" t="str">
        <f>IFERROR(__xludf.DUMMYFUNCTION("""COMPUTED_VALUE"""),"Lava Lump: 2
Warmaline: 3
Rockbomb Shard: 3
Royal Ruby: 1")</f>
        <v>Lava Lump: 2
Warmaline: 3
Rockbomb Shard: 3
Royal Ruby: 1</v>
      </c>
    </row>
    <row r="243">
      <c r="A243" s="41" t="str">
        <f>IFERROR(__xludf.DUMMYFUNCTION("""COMPUTED_VALUE"""),"Monster Slashers")</f>
        <v>Monster Slashers</v>
      </c>
      <c r="B243" s="31" t="str">
        <f>IFERROR(__xludf.DUMMYFUNCTION("""COMPUTED_VALUE"""),"Attack
Critical %")</f>
        <v>Attack
Critical %</v>
      </c>
      <c r="C243" s="31" t="str">
        <f>IFERROR(__xludf.DUMMYFUNCTION("""COMPUTED_VALUE"""),"66
4")</f>
        <v>66
4</v>
      </c>
      <c r="D243" s="31" t="str">
        <f>IFERROR(__xludf.DUMMYFUNCTION("""COMPUTED_VALUE"""),"70
4")</f>
        <v>70
4</v>
      </c>
      <c r="E243" s="31" t="str">
        <f>IFERROR(__xludf.DUMMYFUNCTION("""COMPUTED_VALUE"""),"74
4")</f>
        <v>74
4</v>
      </c>
      <c r="F243" s="31" t="str">
        <f>IFERROR(__xludf.DUMMYFUNCTION("""COMPUTED_VALUE"""),"79
4")</f>
        <v>79
4</v>
      </c>
      <c r="G243" s="31" t="str">
        <f>IFERROR(__xludf.DUMMYFUNCTION("""COMPUTED_VALUE"""),"8% chance to beguile beasts
Bonus damage to Beast (10%)")</f>
        <v>8% chance to beguile beasts
Bonus damage to Beast (10%)</v>
      </c>
      <c r="H243" s="41" t="str">
        <f>IFERROR(__xludf.DUMMYFUNCTION("""COMPUTED_VALUE"""),"Trial Isle: 18000
Rare: Dark Gryphon")</f>
        <v>Trial Isle: 18000
Rare: Dark Gryphon</v>
      </c>
      <c r="I243" s="46"/>
    </row>
    <row r="244">
      <c r="A244" s="42" t="str">
        <f>IFERROR(__xludf.DUMMYFUNCTION("""COMPUTED_VALUE"""),"Crystal Claws")</f>
        <v>Crystal Claws</v>
      </c>
      <c r="B244" s="30" t="str">
        <f>IFERROR(__xludf.DUMMYFUNCTION("""COMPUTED_VALUE"""),"Attack
Critical %
Charm")</f>
        <v>Attack
Critical %
Charm</v>
      </c>
      <c r="C244" s="30" t="str">
        <f>IFERROR(__xludf.DUMMYFUNCTION("""COMPUTED_VALUE"""),"80
5
44")</f>
        <v>80
5
44</v>
      </c>
      <c r="D244" s="30" t="str">
        <f>IFERROR(__xludf.DUMMYFUNCTION("""COMPUTED_VALUE"""),"84
5
46")</f>
        <v>84
5
46</v>
      </c>
      <c r="E244" s="30" t="str">
        <f>IFERROR(__xludf.DUMMYFUNCTION("""COMPUTED_VALUE"""),"88
5
48")</f>
        <v>88
5
48</v>
      </c>
      <c r="F244" s="30" t="str">
        <f>IFERROR(__xludf.DUMMYFUNCTION("""COMPUTED_VALUE"""),"93
5
50")</f>
        <v>93
5
50</v>
      </c>
      <c r="G244" s="30" t="str">
        <f>IFERROR(__xludf.DUMMYFUNCTION("""COMPUTED_VALUE"""),"Portion of Damage Dealt Restored as HP (6%)")</f>
        <v>Portion of Damage Dealt Restored as HP (6%)</v>
      </c>
      <c r="H244" s="42" t="str">
        <f>IFERROR(__xludf.DUMMYFUNCTION("""COMPUTED_VALUE"""),"Postgame Event: Octagonia")</f>
        <v>Postgame Event: Octagonia</v>
      </c>
      <c r="I244" s="45"/>
    </row>
    <row r="245">
      <c r="A245" s="41" t="str">
        <f>IFERROR(__xludf.DUMMYFUNCTION("""COMPUTED_VALUE"""),"Orichalcum Claws")</f>
        <v>Orichalcum Claws</v>
      </c>
      <c r="B245" s="31" t="str">
        <f>IFERROR(__xludf.DUMMYFUNCTION("""COMPUTED_VALUE"""),"Attack
Critical %
Charm")</f>
        <v>Attack
Critical %
Charm</v>
      </c>
      <c r="C245" s="31" t="str">
        <f>IFERROR(__xludf.DUMMYFUNCTION("""COMPUTED_VALUE"""),"81
5
42")</f>
        <v>81
5
42</v>
      </c>
      <c r="D245" s="31" t="str">
        <f>IFERROR(__xludf.DUMMYFUNCTION("""COMPUTED_VALUE"""),"85
5
44")</f>
        <v>85
5
44</v>
      </c>
      <c r="E245" s="31" t="str">
        <f>IFERROR(__xludf.DUMMYFUNCTION("""COMPUTED_VALUE"""),"89
5
46")</f>
        <v>89
5
46</v>
      </c>
      <c r="F245" s="31" t="str">
        <f>IFERROR(__xludf.DUMMYFUNCTION("""COMPUTED_VALUE"""),"94
5
48")</f>
        <v>94
5
48</v>
      </c>
      <c r="G245" s="31" t="str">
        <f>IFERROR(__xludf.DUMMYFUNCTION("""COMPUTED_VALUE"""),"--")</f>
        <v>--</v>
      </c>
      <c r="H245" s="41" t="str">
        <f>IFERROR(__xludf.DUMMYFUNCTION("""COMPUTED_VALUE"""),"Recipe: Orichalcum: Ore Blimey
Rare: Mechan'O'-Wyrm")</f>
        <v>Recipe: Orichalcum: Ore Blimey
Rare: Mechan'O'-Wyrm</v>
      </c>
      <c r="I245" s="41" t="str">
        <f>IFERROR(__xludf.DUMMYFUNCTION("""COMPUTED_VALUE"""),"Orichalcum: 2
Lamplight: 3
Crimsonite: 2
Serpent Bone: 1")</f>
        <v>Orichalcum: 2
Lamplight: 3
Crimsonite: 2
Serpent Bone: 1</v>
      </c>
    </row>
    <row r="246">
      <c r="A246" s="42" t="str">
        <f>IFERROR(__xludf.DUMMYFUNCTION("""COMPUTED_VALUE"""),"Frostfire Fingers")</f>
        <v>Frostfire Fingers</v>
      </c>
      <c r="B246" s="30" t="str">
        <f>IFERROR(__xludf.DUMMYFUNCTION("""COMPUTED_VALUE"""),"Attack
Critical %")</f>
        <v>Attack
Critical %</v>
      </c>
      <c r="C246" s="30" t="str">
        <f>IFERROR(__xludf.DUMMYFUNCTION("""COMPUTED_VALUE"""),"93
5")</f>
        <v>93
5</v>
      </c>
      <c r="D246" s="30" t="str">
        <f>IFERROR(__xludf.DUMMYFUNCTION("""COMPUTED_VALUE"""),"97
6")</f>
        <v>97
6</v>
      </c>
      <c r="E246" s="30" t="str">
        <f>IFERROR(__xludf.DUMMYFUNCTION("""COMPUTED_VALUE"""),"101
7")</f>
        <v>101
7</v>
      </c>
      <c r="F246" s="30" t="str">
        <f>IFERROR(__xludf.DUMMYFUNCTION("""COMPUTED_VALUE"""),"106
8")</f>
        <v>106
8</v>
      </c>
      <c r="G246" s="30" t="str">
        <f>IFERROR(__xludf.DUMMYFUNCTION("""COMPUTED_VALUE"""),"--")</f>
        <v>--</v>
      </c>
      <c r="H246" s="42" t="str">
        <f>IFERROR(__xludf.DUMMYFUNCTION("""COMPUTED_VALUE"""),"Rare: Master Moosifer")</f>
        <v>Rare: Master Moosifer</v>
      </c>
      <c r="I246" s="45"/>
    </row>
    <row r="247">
      <c r="A247" s="41" t="str">
        <f>IFERROR(__xludf.DUMMYFUNCTION("""COMPUTED_VALUE"""),"Deicimators")</f>
        <v>Deicimators</v>
      </c>
      <c r="B247" s="31" t="str">
        <f>IFERROR(__xludf.DUMMYFUNCTION("""COMPUTED_VALUE"""),"Attack
Critical %
Charm")</f>
        <v>Attack
Critical %
Charm</v>
      </c>
      <c r="C247" s="31" t="str">
        <f>IFERROR(__xludf.DUMMYFUNCTION("""COMPUTED_VALUE"""),"95
5
50")</f>
        <v>95
5
50</v>
      </c>
      <c r="D247" s="31" t="str">
        <f>IFERROR(__xludf.DUMMYFUNCTION("""COMPUTED_VALUE"""),"99
5
52")</f>
        <v>99
5
52</v>
      </c>
      <c r="E247" s="31" t="str">
        <f>IFERROR(__xludf.DUMMYFUNCTION("""COMPUTED_VALUE"""),"103
5
54")</f>
        <v>103
5
54</v>
      </c>
      <c r="F247" s="31" t="str">
        <f>IFERROR(__xludf.DUMMYFUNCTION("""COMPUTED_VALUE"""),"108
5
56")</f>
        <v>108
5
56</v>
      </c>
      <c r="G247" s="31" t="str">
        <f>IFERROR(__xludf.DUMMYFUNCTION("""COMPUTED_VALUE"""),"Chance to consume no MP (6/9/12/15%)")</f>
        <v>Chance to consume no MP (6/9/12/15%)</v>
      </c>
      <c r="H247" s="41" t="str">
        <f>IFERROR(__xludf.DUMMYFUNCTION("""COMPUTED_VALUE"""),"Recipe: Big Hitters of the Battlefield")</f>
        <v>Recipe: Big Hitters of the Battlefield</v>
      </c>
      <c r="I247" s="41" t="str">
        <f>IFERROR(__xludf.DUMMYFUNCTION("""COMPUTED_VALUE"""),"Serpent Bone: 2
Gold Bar: 1
Thunderball: 2
Spectralite: 1
Fire Ball: 1")</f>
        <v>Serpent Bone: 2
Gold Bar: 1
Thunderball: 2
Spectralite: 1
Fire Ball: 1</v>
      </c>
    </row>
    <row r="248">
      <c r="A248" s="42" t="str">
        <f>IFERROR(__xludf.DUMMYFUNCTION("""COMPUTED_VALUE"""),"Beastmaster Claws")</f>
        <v>Beastmaster Claws</v>
      </c>
      <c r="B248" s="30" t="str">
        <f>IFERROR(__xludf.DUMMYFUNCTION("""COMPUTED_VALUE"""),"Attack
Critical %
Charm")</f>
        <v>Attack
Critical %
Charm</v>
      </c>
      <c r="C248" s="30" t="str">
        <f>IFERROR(__xludf.DUMMYFUNCTION("""COMPUTED_VALUE"""),"58
4
27")</f>
        <v>58
4
27</v>
      </c>
      <c r="D248" s="30" t="str">
        <f>IFERROR(__xludf.DUMMYFUNCTION("""COMPUTED_VALUE"""),"--")</f>
        <v>--</v>
      </c>
      <c r="E248" s="30" t="str">
        <f>IFERROR(__xludf.DUMMYFUNCTION("""COMPUTED_VALUE"""),"--")</f>
        <v>--</v>
      </c>
      <c r="F248" s="30" t="str">
        <f>IFERROR(__xludf.DUMMYFUNCTION("""COMPUTED_VALUE"""),"--")</f>
        <v>--</v>
      </c>
      <c r="G248" s="30" t="str">
        <f>IFERROR(__xludf.DUMMYFUNCTION("""COMPUTED_VALUE"""),"Bonus damage to Bird (10%)
Bonus damage to Beast (10%)")</f>
        <v>Bonus damage to Bird (10%)
Bonus damage to Beast (10%)</v>
      </c>
      <c r="H248" s="42" t="str">
        <f>IFERROR(__xludf.DUMMYFUNCTION("""COMPUTED_VALUE"""),"Wheel of Harma: Third Trial (20 Moves)")</f>
        <v>Wheel of Harma: Third Trial (20 Moves)</v>
      </c>
      <c r="I248" s="45"/>
    </row>
    <row r="249">
      <c r="A249" s="41" t="str">
        <f>IFERROR(__xludf.DUMMYFUNCTION("""COMPUTED_VALUE"""),"Dragonlord Claws")</f>
        <v>Dragonlord Claws</v>
      </c>
      <c r="B249" s="31" t="str">
        <f>IFERROR(__xludf.DUMMYFUNCTION("""COMPUTED_VALUE"""),"Attack
Critical %
Charm")</f>
        <v>Attack
Critical %
Charm</v>
      </c>
      <c r="C249" s="31" t="str">
        <f>IFERROR(__xludf.DUMMYFUNCTION("""COMPUTED_VALUE"""),"74
4
34")</f>
        <v>74
4
34</v>
      </c>
      <c r="D249" s="31" t="str">
        <f>IFERROR(__xludf.DUMMYFUNCTION("""COMPUTED_VALUE"""),"--")</f>
        <v>--</v>
      </c>
      <c r="E249" s="31" t="str">
        <f>IFERROR(__xludf.DUMMYFUNCTION("""COMPUTED_VALUE"""),"--")</f>
        <v>--</v>
      </c>
      <c r="F249" s="31" t="str">
        <f>IFERROR(__xludf.DUMMYFUNCTION("""COMPUTED_VALUE"""),"--")</f>
        <v>--</v>
      </c>
      <c r="G249" s="31" t="str">
        <f>IFERROR(__xludf.DUMMYFUNCTION("""COMPUTED_VALUE"""),"Bonus damage to Dragon (20%)")</f>
        <v>Bonus damage to Dragon (20%)</v>
      </c>
      <c r="H249" s="41" t="str">
        <f>IFERROR(__xludf.DUMMYFUNCTION("""COMPUTED_VALUE"""),"Recipe: A Hero's Book of Basic Weapons")</f>
        <v>Recipe: A Hero's Book of Basic Weapons</v>
      </c>
      <c r="I249" s="41" t="str">
        <f>IFERROR(__xludf.DUMMYFUNCTION("""COMPUTED_VALUE"""),"Beastmaster Claws: 1
Agate of Evolution: 1
Ethereal Stone: 1
Dragon Horn: 1")</f>
        <v>Beastmaster Claws: 1
Agate of Evolution: 1
Ethereal Stone: 1
Dragon Horn: 1</v>
      </c>
    </row>
    <row r="250">
      <c r="A250" s="42" t="str">
        <f>IFERROR(__xludf.DUMMYFUNCTION("""COMPUTED_VALUE"""),"Dragovian Lord Claws")</f>
        <v>Dragovian Lord Claws</v>
      </c>
      <c r="B250" s="30" t="str">
        <f>IFERROR(__xludf.DUMMYFUNCTION("""COMPUTED_VALUE"""),"Attack
Critical %
Charm")</f>
        <v>Attack
Critical %
Charm</v>
      </c>
      <c r="C250" s="30" t="str">
        <f>IFERROR(__xludf.DUMMYFUNCTION("""COMPUTED_VALUE"""),"88
5
39")</f>
        <v>88
5
39</v>
      </c>
      <c r="D250" s="30" t="str">
        <f>IFERROR(__xludf.DUMMYFUNCTION("""COMPUTED_VALUE"""),"--")</f>
        <v>--</v>
      </c>
      <c r="E250" s="30" t="str">
        <f>IFERROR(__xludf.DUMMYFUNCTION("""COMPUTED_VALUE"""),"--")</f>
        <v>--</v>
      </c>
      <c r="F250" s="30" t="str">
        <f>IFERROR(__xludf.DUMMYFUNCTION("""COMPUTED_VALUE"""),"--")</f>
        <v>--</v>
      </c>
      <c r="G250" s="30" t="str">
        <f>IFERROR(__xludf.DUMMYFUNCTION("""COMPUTED_VALUE"""),"Bonus damage to Dragon (20%)")</f>
        <v>Bonus damage to Dragon (20%)</v>
      </c>
      <c r="H250" s="42" t="str">
        <f>IFERROR(__xludf.DUMMYFUNCTION("""COMPUTED_VALUE"""),"Recipe: A Hero's Book of Better Weapons")</f>
        <v>Recipe: A Hero's Book of Better Weapons</v>
      </c>
      <c r="I250" s="42" t="str">
        <f>IFERROR(__xludf.DUMMYFUNCTION("""COMPUTED_VALUE"""),"Dragonlord Claws: 1
Agate of Evolution: 2
Ethereal Stone: 2
Dragon Horn: 2
Royal Ruby: 1")</f>
        <v>Dragonlord Claws: 1
Agate of Evolution: 2
Ethereal Stone: 2
Dragon Horn: 2
Royal Ruby: 1</v>
      </c>
    </row>
    <row r="251">
      <c r="A251" s="41" t="str">
        <f>IFERROR(__xludf.DUMMYFUNCTION("""COMPUTED_VALUE"""),"Xenlon Claws")</f>
        <v>Xenlon Claws</v>
      </c>
      <c r="B251" s="31" t="str">
        <f>IFERROR(__xludf.DUMMYFUNCTION("""COMPUTED_VALUE"""),"Attack
Critical %
Charm")</f>
        <v>Attack
Critical %
Charm</v>
      </c>
      <c r="C251" s="31" t="str">
        <f>IFERROR(__xludf.DUMMYFUNCTION("""COMPUTED_VALUE"""),"190
5
47")</f>
        <v>190
5
47</v>
      </c>
      <c r="D251" s="31" t="str">
        <f>IFERROR(__xludf.DUMMYFUNCTION("""COMPUTED_VALUE"""),"112
5
48")</f>
        <v>112
5
48</v>
      </c>
      <c r="E251" s="31" t="str">
        <f>IFERROR(__xludf.DUMMYFUNCTION("""COMPUTED_VALUE"""),"115
5
49")</f>
        <v>115
5
49</v>
      </c>
      <c r="F251" s="31" t="str">
        <f>IFERROR(__xludf.DUMMYFUNCTION("""COMPUTED_VALUE"""),"118
5
50")</f>
        <v>118
5
50</v>
      </c>
      <c r="G251" s="31" t="str">
        <f>IFERROR(__xludf.DUMMYFUNCTION("""COMPUTED_VALUE"""),"Bonus damage to Dragon (20%)")</f>
        <v>Bonus damage to Dragon (20%)</v>
      </c>
      <c r="H251" s="41" t="str">
        <f>IFERROR(__xludf.DUMMYFUNCTION("""COMPUTED_VALUE"""),"Recipe: A Hero's Book of Brilliant Weapons")</f>
        <v>Recipe: A Hero's Book of Brilliant Weapons</v>
      </c>
      <c r="I251" s="41" t="str">
        <f>IFERROR(__xludf.DUMMYFUNCTION("""COMPUTED_VALUE"""),"Dragovian Lord Claws: 1
Uber Agate of Evolution: 3
Ethereal Stone: 3
Dragon Horn: 3
Crimsonite: 1")</f>
        <v>Dragovian Lord Claws: 1
Uber Agate of Evolution: 3
Ethereal Stone: 3
Dragon Horn: 3
Crimsonite: 1</v>
      </c>
    </row>
    <row r="252">
      <c r="A252" s="40" t="str">
        <f>IFERROR(__xludf.DUMMYFUNCTION("""COMPUTED_VALUE"""),"Axes")</f>
        <v>Axes</v>
      </c>
      <c r="B252" s="7"/>
      <c r="C252" s="7"/>
      <c r="D252" s="7"/>
      <c r="E252" s="7"/>
      <c r="F252" s="7"/>
      <c r="G252" s="7"/>
      <c r="H252" s="7"/>
      <c r="I252" s="8"/>
    </row>
    <row r="253">
      <c r="A253" s="41" t="str">
        <f>IFERROR(__xludf.DUMMYFUNCTION("""COMPUTED_VALUE"""),"Cavalier Cleaver")</f>
        <v>Cavalier Cleaver</v>
      </c>
      <c r="B253" s="31" t="str">
        <f>IFERROR(__xludf.DUMMYFUNCTION("""COMPUTED_VALUE"""),"Attack")</f>
        <v>Attack</v>
      </c>
      <c r="C253" s="31">
        <f>IFERROR(__xludf.DUMMYFUNCTION("""COMPUTED_VALUE"""),64.0)</f>
        <v>64</v>
      </c>
      <c r="D253" s="31">
        <f>IFERROR(__xludf.DUMMYFUNCTION("""COMPUTED_VALUE"""),68.0)</f>
        <v>68</v>
      </c>
      <c r="E253" s="31">
        <f>IFERROR(__xludf.DUMMYFUNCTION("""COMPUTED_VALUE"""),72.0)</f>
        <v>72</v>
      </c>
      <c r="F253" s="31">
        <f>IFERROR(__xludf.DUMMYFUNCTION("""COMPUTED_VALUE"""),76.0)</f>
        <v>76</v>
      </c>
      <c r="G253" s="31" t="str">
        <f>IFERROR(__xludf.DUMMYFUNCTION("""COMPUTED_VALUE"""),"--")</f>
        <v>--</v>
      </c>
      <c r="H253" s="41" t="str">
        <f>IFERROR(__xludf.DUMMYFUNCTION("""COMPUTED_VALUE"""),"Angri-La: 6600
Rare: Knight Aberrant")</f>
        <v>Angri-La: 6600
Rare: Knight Aberrant</v>
      </c>
      <c r="I253" s="46"/>
    </row>
    <row r="254">
      <c r="A254" s="42" t="str">
        <f>IFERROR(__xludf.DUMMYFUNCTION("""COMPUTED_VALUE"""),"Ice Axe")</f>
        <v>Ice Axe</v>
      </c>
      <c r="B254" s="30" t="str">
        <f>IFERROR(__xludf.DUMMYFUNCTION("""COMPUTED_VALUE"""),"Attack")</f>
        <v>Attack</v>
      </c>
      <c r="C254" s="30">
        <f>IFERROR(__xludf.DUMMYFUNCTION("""COMPUTED_VALUE"""),72.0)</f>
        <v>72</v>
      </c>
      <c r="D254" s="30">
        <f>IFERROR(__xludf.DUMMYFUNCTION("""COMPUTED_VALUE"""),76.0)</f>
        <v>76</v>
      </c>
      <c r="E254" s="30">
        <f>IFERROR(__xludf.DUMMYFUNCTION("""COMPUTED_VALUE"""),80.0)</f>
        <v>80</v>
      </c>
      <c r="F254" s="30">
        <f>IFERROR(__xludf.DUMMYFUNCTION("""COMPUTED_VALUE"""),85.0)</f>
        <v>85</v>
      </c>
      <c r="G254" s="30" t="str">
        <f>IFERROR(__xludf.DUMMYFUNCTION("""COMPUTED_VALUE"""),"Will deal ice damage when attacking")</f>
        <v>Will deal ice damage when attacking</v>
      </c>
      <c r="H254" s="42" t="str">
        <f>IFERROR(__xludf.DUMMYFUNCTION("""COMPUTED_VALUE"""),"The Champs Sauvage: 9200")</f>
        <v>The Champs Sauvage: 9200</v>
      </c>
      <c r="I254" s="45"/>
    </row>
    <row r="255">
      <c r="A255" s="41" t="str">
        <f>IFERROR(__xludf.DUMMYFUNCTION("""COMPUTED_VALUE"""),"King Axe")</f>
        <v>King Axe</v>
      </c>
      <c r="B255" s="31" t="str">
        <f>IFERROR(__xludf.DUMMYFUNCTION("""COMPUTED_VALUE"""),"Attack
Max MP")</f>
        <v>Attack
Max MP</v>
      </c>
      <c r="C255" s="31" t="str">
        <f>IFERROR(__xludf.DUMMYFUNCTION("""COMPUTED_VALUE"""),"80
6")</f>
        <v>80
6</v>
      </c>
      <c r="D255" s="31" t="str">
        <f>IFERROR(__xludf.DUMMYFUNCTION("""COMPUTED_VALUE"""),"84
6")</f>
        <v>84
6</v>
      </c>
      <c r="E255" s="31" t="str">
        <f>IFERROR(__xludf.DUMMYFUNCTION("""COMPUTED_VALUE"""),"88
7")</f>
        <v>88
7</v>
      </c>
      <c r="F255" s="31" t="str">
        <f>IFERROR(__xludf.DUMMYFUNCTION("""COMPUTED_VALUE"""),"93
8")</f>
        <v>93
8</v>
      </c>
      <c r="G255" s="31" t="str">
        <f>IFERROR(__xludf.DUMMYFUNCTION("""COMPUTED_VALUE"""),"Bonus damage to Machine (10%)")</f>
        <v>Bonus damage to Machine (10%)</v>
      </c>
      <c r="H255" s="41" t="str">
        <f>IFERROR(__xludf.DUMMYFUNCTION("""COMPUTED_VALUE"""),"Puerto Valor, Phnom Nonh: 10800
Recipe: A Recipe Book of Regal Regalia")</f>
        <v>Puerto Valor, Phnom Nonh: 10800
Recipe: A Recipe Book of Regal Regalia</v>
      </c>
      <c r="I255" s="41" t="str">
        <f>IFERROR(__xludf.DUMMYFUNCTION("""COMPUTED_VALUE"""),"Gold Ore: 3
Enchanted Stone: 3
Beast Bone: 2")</f>
        <v>Gold Ore: 3
Enchanted Stone: 3
Beast Bone: 2</v>
      </c>
    </row>
    <row r="256">
      <c r="A256" s="42" t="str">
        <f>IFERROR(__xludf.DUMMYFUNCTION("""COMPUTED_VALUE"""),"Obliteratoriser")</f>
        <v>Obliteratoriser</v>
      </c>
      <c r="B256" s="30" t="str">
        <f>IFERROR(__xludf.DUMMYFUNCTION("""COMPUTED_VALUE"""),"Attack
Critical %")</f>
        <v>Attack
Critical %</v>
      </c>
      <c r="C256" s="30" t="str">
        <f>IFERROR(__xludf.DUMMYFUNCTION("""COMPUTED_VALUE"""),"85
2")</f>
        <v>85
2</v>
      </c>
      <c r="D256" s="30" t="str">
        <f>IFERROR(__xludf.DUMMYFUNCTION("""COMPUTED_VALUE"""),"89
2")</f>
        <v>89
2</v>
      </c>
      <c r="E256" s="30" t="str">
        <f>IFERROR(__xludf.DUMMYFUNCTION("""COMPUTED_VALUE"""),"93
2")</f>
        <v>93
2</v>
      </c>
      <c r="F256" s="30" t="str">
        <f>IFERROR(__xludf.DUMMYFUNCTION("""COMPUTED_VALUE"""),"98
2")</f>
        <v>98
2</v>
      </c>
      <c r="G256" s="30" t="str">
        <f>IFERROR(__xludf.DUMMYFUNCTION("""COMPUTED_VALUE"""),"--")</f>
        <v>--</v>
      </c>
      <c r="H256" s="42" t="str">
        <f>IFERROR(__xludf.DUMMYFUNCTION("""COMPUTED_VALUE"""),"Octagonia, Lonalulu: 12500
Rare: Hoodlum")</f>
        <v>Octagonia, Lonalulu: 12500
Rare: Hoodlum</v>
      </c>
      <c r="I256" s="45"/>
    </row>
    <row r="257">
      <c r="A257" s="41" t="str">
        <f>IFERROR(__xludf.DUMMYFUNCTION("""COMPUTED_VALUE"""),"Kaiser Axe")</f>
        <v>Kaiser Axe</v>
      </c>
      <c r="B257" s="31" t="str">
        <f>IFERROR(__xludf.DUMMYFUNCTION("""COMPUTED_VALUE"""),"Attack
Max MP")</f>
        <v>Attack
Max MP</v>
      </c>
      <c r="C257" s="31" t="str">
        <f>IFERROR(__xludf.DUMMYFUNCTION("""COMPUTED_VALUE"""),"86
8")</f>
        <v>86
8</v>
      </c>
      <c r="D257" s="31" t="str">
        <f>IFERROR(__xludf.DUMMYFUNCTION("""COMPUTED_VALUE"""),"90
8")</f>
        <v>90
8</v>
      </c>
      <c r="E257" s="31" t="str">
        <f>IFERROR(__xludf.DUMMYFUNCTION("""COMPUTED_VALUE"""),"95
9")</f>
        <v>95
9</v>
      </c>
      <c r="F257" s="31" t="str">
        <f>IFERROR(__xludf.DUMMYFUNCTION("""COMPUTED_VALUE"""),"100
10")</f>
        <v>100
10</v>
      </c>
      <c r="G257" s="31" t="str">
        <f>IFERROR(__xludf.DUMMYFUNCTION("""COMPUTED_VALUE"""),"--")</f>
        <v>--</v>
      </c>
      <c r="H257" s="41" t="str">
        <f>IFERROR(__xludf.DUMMYFUNCTION("""COMPUTED_VALUE"""),"Recipe: The Emperor's New Axe
Rare: Royal Reptile")</f>
        <v>Recipe: The Emperor's New Axe
Rare: Royal Reptile</v>
      </c>
      <c r="I257" s="41" t="str">
        <f>IFERROR(__xludf.DUMMYFUNCTION("""COMPUTED_VALUE"""),"Gold Ore: 3
Ethereal Stone: 1
Magic Beast Horn: 2")</f>
        <v>Gold Ore: 3
Ethereal Stone: 1
Magic Beast Horn: 2</v>
      </c>
    </row>
    <row r="258">
      <c r="A258" s="42" t="str">
        <f>IFERROR(__xludf.DUMMYFUNCTION("""COMPUTED_VALUE"""),"Avalanche Axe")</f>
        <v>Avalanche Axe</v>
      </c>
      <c r="B258" s="30" t="str">
        <f>IFERROR(__xludf.DUMMYFUNCTION("""COMPUTED_VALUE"""),"Attack")</f>
        <v>Attack</v>
      </c>
      <c r="C258" s="30">
        <f>IFERROR(__xludf.DUMMYFUNCTION("""COMPUTED_VALUE"""),93.0)</f>
        <v>93</v>
      </c>
      <c r="D258" s="30">
        <f>IFERROR(__xludf.DUMMYFUNCTION("""COMPUTED_VALUE"""),97.0)</f>
        <v>97</v>
      </c>
      <c r="E258" s="30">
        <f>IFERROR(__xludf.DUMMYFUNCTION("""COMPUTED_VALUE"""),102.0)</f>
        <v>102</v>
      </c>
      <c r="F258" s="30">
        <f>IFERROR(__xludf.DUMMYFUNCTION("""COMPUTED_VALUE"""),107.0)</f>
        <v>107</v>
      </c>
      <c r="G258" s="30" t="str">
        <f>IFERROR(__xludf.DUMMYFUNCTION("""COMPUTED_VALUE"""),"Will deal ice damage when attacking")</f>
        <v>Will deal ice damage when attacking</v>
      </c>
      <c r="H258" s="42" t="str">
        <f>IFERROR(__xludf.DUMMYFUNCTION("""COMPUTED_VALUE"""),"Sniflheim, Snaerfelt: 15000
Recipe: Snowfield Styles")</f>
        <v>Sniflheim, Snaerfelt: 15000
Recipe: Snowfield Styles</v>
      </c>
      <c r="I258" s="42" t="str">
        <f>IFERROR(__xludf.DUMMYFUNCTION("""COMPUTED_VALUE"""),"Mythril Ore: 3
Ice Crystal: 2
Permasnow: 2
Savvy Sapphire: 1")</f>
        <v>Mythril Ore: 3
Ice Crystal: 2
Permasnow: 2
Savvy Sapphire: 1</v>
      </c>
    </row>
    <row r="259">
      <c r="A259" s="41" t="str">
        <f>IFERROR(__xludf.DUMMYFUNCTION("""COMPUTED_VALUE"""),"Overlord's Axe")</f>
        <v>Overlord's Axe</v>
      </c>
      <c r="B259" s="31" t="str">
        <f>IFERROR(__xludf.DUMMYFUNCTION("""COMPUTED_VALUE"""),"Attack")</f>
        <v>Attack</v>
      </c>
      <c r="C259" s="31">
        <f>IFERROR(__xludf.DUMMYFUNCTION("""COMPUTED_VALUE"""),100.0)</f>
        <v>100</v>
      </c>
      <c r="D259" s="31">
        <f>IFERROR(__xludf.DUMMYFUNCTION("""COMPUTED_VALUE"""),104.0)</f>
        <v>104</v>
      </c>
      <c r="E259" s="31">
        <f>IFERROR(__xludf.DUMMYFUNCTION("""COMPUTED_VALUE"""),108.0)</f>
        <v>108</v>
      </c>
      <c r="F259" s="31">
        <f>IFERROR(__xludf.DUMMYFUNCTION("""COMPUTED_VALUE"""),113.0)</f>
        <v>113</v>
      </c>
      <c r="G259" s="31" t="str">
        <f>IFERROR(__xludf.DUMMYFUNCTION("""COMPUTED_VALUE"""),"Bonus damage to Humanoid (10%)")</f>
        <v>Bonus damage to Humanoid (10%)</v>
      </c>
      <c r="H259" s="41" t="str">
        <f>IFERROR(__xludf.DUMMYFUNCTION("""COMPUTED_VALUE"""),"Gallopolis, Gondolia: 21600")</f>
        <v>Gallopolis, Gondolia: 21600</v>
      </c>
      <c r="I259" s="46"/>
    </row>
    <row r="260">
      <c r="A260" s="42" t="str">
        <f>IFERROR(__xludf.DUMMYFUNCTION("""COMPUTED_VALUE"""),"Conqueror's Axe")</f>
        <v>Conqueror's Axe</v>
      </c>
      <c r="B260" s="30" t="str">
        <f>IFERROR(__xludf.DUMMYFUNCTION("""COMPUTED_VALUE"""),"Attack")</f>
        <v>Attack</v>
      </c>
      <c r="C260" s="30">
        <f>IFERROR(__xludf.DUMMYFUNCTION("""COMPUTED_VALUE"""),111.0)</f>
        <v>111</v>
      </c>
      <c r="D260" s="30">
        <f>IFERROR(__xludf.DUMMYFUNCTION("""COMPUTED_VALUE"""),117.0)</f>
        <v>117</v>
      </c>
      <c r="E260" s="30">
        <f>IFERROR(__xludf.DUMMYFUNCTION("""COMPUTED_VALUE"""),124.0)</f>
        <v>124</v>
      </c>
      <c r="F260" s="30">
        <f>IFERROR(__xludf.DUMMYFUNCTION("""COMPUTED_VALUE"""),132.0)</f>
        <v>132</v>
      </c>
      <c r="G260" s="30" t="str">
        <f>IFERROR(__xludf.DUMMYFUNCTION("""COMPUTED_VALUE"""),"--")</f>
        <v>--</v>
      </c>
      <c r="H260" s="42" t="str">
        <f>IFERROR(__xludf.DUMMYFUNCTION("""COMPUTED_VALUE"""),"Havens Above, Trial Isle: 26000")</f>
        <v>Havens Above, Trial Isle: 26000</v>
      </c>
      <c r="I260" s="45"/>
    </row>
    <row r="261">
      <c r="A261" s="41" t="str">
        <f>IFERROR(__xludf.DUMMYFUNCTION("""COMPUTED_VALUE"""),"Apollo's Axe")</f>
        <v>Apollo's Axe</v>
      </c>
      <c r="B261" s="31" t="str">
        <f>IFERROR(__xludf.DUMMYFUNCTION("""COMPUTED_VALUE"""),"Attack
Max HP")</f>
        <v>Attack
Max HP</v>
      </c>
      <c r="C261" s="31" t="str">
        <f>IFERROR(__xludf.DUMMYFUNCTION("""COMPUTED_VALUE"""),"135
5")</f>
        <v>135
5</v>
      </c>
      <c r="D261" s="31" t="str">
        <f>IFERROR(__xludf.DUMMYFUNCTION("""COMPUTED_VALUE"""),"142
6")</f>
        <v>142
6</v>
      </c>
      <c r="E261" s="31" t="str">
        <f>IFERROR(__xludf.DUMMYFUNCTION("""COMPUTED_VALUE"""),"149
8")</f>
        <v>149
8</v>
      </c>
      <c r="F261" s="31" t="str">
        <f>IFERROR(__xludf.DUMMYFUNCTION("""COMPUTED_VALUE"""),"156
10")</f>
        <v>156
10</v>
      </c>
      <c r="G261" s="31" t="str">
        <f>IFERROR(__xludf.DUMMYFUNCTION("""COMPUTED_VALUE"""),"Will deal fire damage when attacking
Will deal light damage when attacking")</f>
        <v>Will deal fire damage when attacking
Will deal light damage when attacking</v>
      </c>
      <c r="H261" s="41" t="str">
        <f>IFERROR(__xludf.DUMMYFUNCTION("""COMPUTED_VALUE"""),"Quest: Might is Right
Rare: Harmachis (Rarefied)")</f>
        <v>Quest: Might is Right
Rare: Harmachis (Rarefied)</v>
      </c>
      <c r="I261" s="46"/>
    </row>
    <row r="262">
      <c r="A262" s="42" t="str">
        <f>IFERROR(__xludf.DUMMYFUNCTION("""COMPUTED_VALUE"""),"Aristocrat's Axe")</f>
        <v>Aristocrat's Axe</v>
      </c>
      <c r="B262" s="30" t="str">
        <f>IFERROR(__xludf.DUMMYFUNCTION("""COMPUTED_VALUE"""),"Attack
Max MP")</f>
        <v>Attack
Max MP</v>
      </c>
      <c r="C262" s="30" t="str">
        <f>IFERROR(__xludf.DUMMYFUNCTION("""COMPUTED_VALUE"""),"158
18")</f>
        <v>158
18</v>
      </c>
      <c r="D262" s="30" t="str">
        <f>IFERROR(__xludf.DUMMYFUNCTION("""COMPUTED_VALUE"""),"165
18")</f>
        <v>165
18</v>
      </c>
      <c r="E262" s="30" t="str">
        <f>IFERROR(__xludf.DUMMYFUNCTION("""COMPUTED_VALUE"""),"172
19")</f>
        <v>172
19</v>
      </c>
      <c r="F262" s="30" t="str">
        <f>IFERROR(__xludf.DUMMYFUNCTION("""COMPUTED_VALUE"""),"180
20")</f>
        <v>180
20</v>
      </c>
      <c r="G262" s="30" t="str">
        <f>IFERROR(__xludf.DUMMYFUNCTION("""COMPUTED_VALUE"""),"Chance to consume no MP (5/6/6/8%)
Bonus damage to Demon (10%)")</f>
        <v>Chance to consume no MP (5/6/6/8%)
Bonus damage to Demon (10%)</v>
      </c>
      <c r="H262" s="42" t="str">
        <f>IFERROR(__xludf.DUMMYFUNCTION("""COMPUTED_VALUE"""),"Cobblestone: 48000")</f>
        <v>Cobblestone: 48000</v>
      </c>
      <c r="I262" s="45"/>
    </row>
    <row r="263">
      <c r="A263" s="41" t="str">
        <f>IFERROR(__xludf.DUMMYFUNCTION("""COMPUTED_VALUE"""),"Kairos Cleaver")</f>
        <v>Kairos Cleaver</v>
      </c>
      <c r="B263" s="31" t="str">
        <f>IFERROR(__xludf.DUMMYFUNCTION("""COMPUTED_VALUE"""),"Attack
Critical %
Agility")</f>
        <v>Attack
Critical %
Agility</v>
      </c>
      <c r="C263" s="31" t="str">
        <f>IFERROR(__xludf.DUMMYFUNCTION("""COMPUTED_VALUE"""),"160
2
12")</f>
        <v>160
2
12</v>
      </c>
      <c r="D263" s="31" t="str">
        <f>IFERROR(__xludf.DUMMYFUNCTION("""COMPUTED_VALUE"""),"167
2
13")</f>
        <v>167
2
13</v>
      </c>
      <c r="E263" s="31" t="str">
        <f>IFERROR(__xludf.DUMMYFUNCTION("""COMPUTED_VALUE"""),"174
2
14")</f>
        <v>174
2
14</v>
      </c>
      <c r="F263" s="31" t="str">
        <f>IFERROR(__xludf.DUMMYFUNCTION("""COMPUTED_VALUE"""),"182
3
15")</f>
        <v>182
3
15</v>
      </c>
      <c r="G263" s="31" t="str">
        <f>IFERROR(__xludf.DUMMYFUNCTION("""COMPUTED_VALUE"""),"--")</f>
        <v>--</v>
      </c>
      <c r="H263" s="41" t="str">
        <f>IFERROR(__xludf.DUMMYFUNCTION("""COMPUTED_VALUE"""),"Recipe: Big Hitters of the Battlefield")</f>
        <v>Recipe: Big Hitters of the Battlefield</v>
      </c>
      <c r="I263" s="41" t="str">
        <f>IFERROR(__xludf.DUMMYFUNCTION("""COMPUTED_VALUE"""),"Mythril Ore: 3
Chronocrystal: 1
Crimsonite: 2
Slipweed: 3
Sunny Citrine: 2")</f>
        <v>Mythril Ore: 3
Chronocrystal: 1
Crimsonite: 2
Slipweed: 3
Sunny Citrine: 2</v>
      </c>
    </row>
    <row r="264">
      <c r="A264" s="42" t="str">
        <f>IFERROR(__xludf.DUMMYFUNCTION("""COMPUTED_VALUE"""),"Bad Axe")</f>
        <v>Bad Axe</v>
      </c>
      <c r="B264" s="30" t="str">
        <f>IFERROR(__xludf.DUMMYFUNCTION("""COMPUTED_VALUE"""),"Attack
Max MP
Charm")</f>
        <v>Attack
Max MP
Charm</v>
      </c>
      <c r="C264" s="30" t="str">
        <f>IFERROR(__xludf.DUMMYFUNCTION("""COMPUTED_VALUE"""),"106
10
27")</f>
        <v>106
10
27</v>
      </c>
      <c r="D264" s="30" t="str">
        <f>IFERROR(__xludf.DUMMYFUNCTION("""COMPUTED_VALUE"""),"--")</f>
        <v>--</v>
      </c>
      <c r="E264" s="30" t="str">
        <f>IFERROR(__xludf.DUMMYFUNCTION("""COMPUTED_VALUE"""),"--")</f>
        <v>--</v>
      </c>
      <c r="F264" s="30" t="str">
        <f>IFERROR(__xludf.DUMMYFUNCTION("""COMPUTED_VALUE"""),"--")</f>
        <v>--</v>
      </c>
      <c r="G264" s="30" t="str">
        <f>IFERROR(__xludf.DUMMYFUNCTION("""COMPUTED_VALUE"""),"Chance to reduce enemy attack (8%)")</f>
        <v>Chance to reduce enemy attack (8%)</v>
      </c>
      <c r="H264" s="42" t="str">
        <f>IFERROR(__xludf.DUMMYFUNCTION("""COMPUTED_VALUE"""),"Chest: The Battleground")</f>
        <v>Chest: The Battleground</v>
      </c>
      <c r="I264" s="45"/>
    </row>
    <row r="265">
      <c r="A265" s="41" t="str">
        <f>IFERROR(__xludf.DUMMYFUNCTION("""COMPUTED_VALUE"""),"Maxi Axe")</f>
        <v>Maxi Axe</v>
      </c>
      <c r="B265" s="31" t="str">
        <f>IFERROR(__xludf.DUMMYFUNCTION("""COMPUTED_VALUE"""),"Attack
Max MP
Charm")</f>
        <v>Attack
Max MP
Charm</v>
      </c>
      <c r="C265" s="31" t="str">
        <f>IFERROR(__xludf.DUMMYFUNCTION("""COMPUTED_VALUE"""),"123
14
34")</f>
        <v>123
14
34</v>
      </c>
      <c r="D265" s="31" t="str">
        <f>IFERROR(__xludf.DUMMYFUNCTION("""COMPUTED_VALUE"""),"--")</f>
        <v>--</v>
      </c>
      <c r="E265" s="31" t="str">
        <f>IFERROR(__xludf.DUMMYFUNCTION("""COMPUTED_VALUE"""),"--")</f>
        <v>--</v>
      </c>
      <c r="F265" s="31" t="str">
        <f>IFERROR(__xludf.DUMMYFUNCTION("""COMPUTED_VALUE"""),"--")</f>
        <v>--</v>
      </c>
      <c r="G265" s="31" t="str">
        <f>IFERROR(__xludf.DUMMYFUNCTION("""COMPUTED_VALUE"""),"Chance to reduce enemy attack (10%)")</f>
        <v>Chance to reduce enemy attack (10%)</v>
      </c>
      <c r="H265" s="41" t="str">
        <f>IFERROR(__xludf.DUMMYFUNCTION("""COMPUTED_VALUE"""),"Recipe: A Hero's Book of Basic Weapons")</f>
        <v>Recipe: A Hero's Book of Basic Weapons</v>
      </c>
      <c r="I265" s="41" t="str">
        <f>IFERROR(__xludf.DUMMYFUNCTION("""COMPUTED_VALUE"""),"Bad Axe: 1
Agate of Evolution: 1
Densinium: 1
Wyrmwood: 1")</f>
        <v>Bad Axe: 1
Agate of Evolution: 1
Densinium: 1
Wyrmwood: 1</v>
      </c>
    </row>
    <row r="266">
      <c r="A266" s="42" t="str">
        <f>IFERROR(__xludf.DUMMYFUNCTION("""COMPUTED_VALUE"""),"Climaxe")</f>
        <v>Climaxe</v>
      </c>
      <c r="B266" s="30" t="str">
        <f>IFERROR(__xludf.DUMMYFUNCTION("""COMPUTED_VALUE"""),"Attack
Max MP
Charm")</f>
        <v>Attack
Max MP
Charm</v>
      </c>
      <c r="C266" s="30" t="str">
        <f>IFERROR(__xludf.DUMMYFUNCTION("""COMPUTED_VALUE"""),"147
16
39")</f>
        <v>147
16
39</v>
      </c>
      <c r="D266" s="30" t="str">
        <f>IFERROR(__xludf.DUMMYFUNCTION("""COMPUTED_VALUE"""),"--")</f>
        <v>--</v>
      </c>
      <c r="E266" s="30" t="str">
        <f>IFERROR(__xludf.DUMMYFUNCTION("""COMPUTED_VALUE"""),"--")</f>
        <v>--</v>
      </c>
      <c r="F266" s="30" t="str">
        <f>IFERROR(__xludf.DUMMYFUNCTION("""COMPUTED_VALUE"""),"--")</f>
        <v>--</v>
      </c>
      <c r="G266" s="30" t="str">
        <f>IFERROR(__xludf.DUMMYFUNCTION("""COMPUTED_VALUE"""),"Chance to reduce enemy attack (12%)")</f>
        <v>Chance to reduce enemy attack (12%)</v>
      </c>
      <c r="H266" s="42" t="str">
        <f>IFERROR(__xludf.DUMMYFUNCTION("""COMPUTED_VALUE"""),"Recipe: A Hero's Book of Better Weapons")</f>
        <v>Recipe: A Hero's Book of Better Weapons</v>
      </c>
      <c r="I266" s="42" t="str">
        <f>IFERROR(__xludf.DUMMYFUNCTION("""COMPUTED_VALUE"""),"Maxi Axe: 1
Agate of Evolution: 2
Densinium: 2
Wyrmwood: 2
Sunny Citrine: 1")</f>
        <v>Maxi Axe: 1
Agate of Evolution: 2
Densinium: 2
Wyrmwood: 2
Sunny Citrine: 1</v>
      </c>
    </row>
    <row r="267">
      <c r="A267" s="41" t="str">
        <f>IFERROR(__xludf.DUMMYFUNCTION("""COMPUTED_VALUE"""),"Galaxy Axe")</f>
        <v>Galaxy Axe</v>
      </c>
      <c r="B267" s="31" t="str">
        <f>IFERROR(__xludf.DUMMYFUNCTION("""COMPUTED_VALUE"""),"Attack
Max MP
Charm")</f>
        <v>Attack
Max MP
Charm</v>
      </c>
      <c r="C267" s="31" t="str">
        <f>IFERROR(__xludf.DUMMYFUNCTION("""COMPUTED_VALUE"""),"182
18
47")</f>
        <v>182
18
47</v>
      </c>
      <c r="D267" s="31" t="str">
        <f>IFERROR(__xludf.DUMMYFUNCTION("""COMPUTED_VALUE"""),"186
19
48")</f>
        <v>186
19
48</v>
      </c>
      <c r="E267" s="31" t="str">
        <f>IFERROR(__xludf.DUMMYFUNCTION("""COMPUTED_VALUE"""),"191
19
49")</f>
        <v>191
19
49</v>
      </c>
      <c r="F267" s="31" t="str">
        <f>IFERROR(__xludf.DUMMYFUNCTION("""COMPUTED_VALUE"""),"196
20
50")</f>
        <v>196
20
50</v>
      </c>
      <c r="G267" s="31" t="str">
        <f>IFERROR(__xludf.DUMMYFUNCTION("""COMPUTED_VALUE"""),"Chance to reduce enemy attack (12/16/20/24%)")</f>
        <v>Chance to reduce enemy attack (12/16/20/24%)</v>
      </c>
      <c r="H267" s="41" t="str">
        <f>IFERROR(__xludf.DUMMYFUNCTION("""COMPUTED_VALUE"""),"Recipe: A Hero's Book of Brilliant Weapons")</f>
        <v>Recipe: A Hero's Book of Brilliant Weapons</v>
      </c>
      <c r="I267" s="41" t="str">
        <f>IFERROR(__xludf.DUMMYFUNCTION("""COMPUTED_VALUE"""),"Climaxe: 1
Uber Agate of Evolution: 1
Densinium: 3
Wyrmwood: 3
Crimsonite: 1")</f>
        <v>Climaxe: 1
Uber Agate of Evolution: 1
Densinium: 3
Wyrmwood: 3
Crimsonite: 1</v>
      </c>
    </row>
  </sheetData>
  <mergeCells count="10">
    <mergeCell ref="A204:I204"/>
    <mergeCell ref="A226:I226"/>
    <mergeCell ref="A252:I252"/>
    <mergeCell ref="A2:I2"/>
    <mergeCell ref="A47:I47"/>
    <mergeCell ref="A72:I72"/>
    <mergeCell ref="A103:I103"/>
    <mergeCell ref="A124:I124"/>
    <mergeCell ref="A147:I147"/>
    <mergeCell ref="A179:I17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2.63"/>
    <col customWidth="1" min="3" max="6" width="5.13"/>
    <col customWidth="1" min="7" max="7" width="37.63"/>
    <col customWidth="1" min="8" max="8" width="46.38"/>
    <col customWidth="1" min="9" max="9" width="22.63"/>
  </cols>
  <sheetData>
    <row r="1" ht="15.0" customHeight="1">
      <c r="A1" s="49" t="str">
        <f>IFERROR(__xludf.DUMMYFUNCTION("IMPORTRANGE(""1pGQGO9M_OLNstXbY45t1_zMDCLpiw8pwB7y8fM3IKkA"",""Shield/Head!A1:I121"")"),"Name")</f>
        <v>Name</v>
      </c>
      <c r="B1" s="50" t="str">
        <f>IFERROR(__xludf.DUMMYFUNCTION("""COMPUTED_VALUE"""),"Stat")</f>
        <v>Stat</v>
      </c>
      <c r="C1" s="50" t="str">
        <f>IFERROR(__xludf.DUMMYFUNCTION("""COMPUTED_VALUE"""),"Base")</f>
        <v>Base</v>
      </c>
      <c r="D1" s="51" t="str">
        <f>IFERROR(__xludf.DUMMYFUNCTION("""COMPUTED_VALUE"""),"+1")</f>
        <v>+1</v>
      </c>
      <c r="E1" s="51" t="str">
        <f>IFERROR(__xludf.DUMMYFUNCTION("""COMPUTED_VALUE"""),"+2")</f>
        <v>+2</v>
      </c>
      <c r="F1" s="51" t="str">
        <f>IFERROR(__xludf.DUMMYFUNCTION("""COMPUTED_VALUE"""),"+3")</f>
        <v>+3</v>
      </c>
      <c r="G1" s="50" t="str">
        <f>IFERROR(__xludf.DUMMYFUNCTION("""COMPUTED_VALUE"""),"Special")</f>
        <v>Special</v>
      </c>
      <c r="H1" s="50" t="str">
        <f>IFERROR(__xludf.DUMMYFUNCTION("""COMPUTED_VALUE"""),"Location (Vicious/Malicious will also drop)")</f>
        <v>Location (Vicious/Malicious will also drop)</v>
      </c>
      <c r="I1" s="50" t="str">
        <f>IFERROR(__xludf.DUMMYFUNCTION("""COMPUTED_VALUE"""),"Forge")</f>
        <v>Forge</v>
      </c>
    </row>
    <row r="2">
      <c r="A2" s="52" t="str">
        <f>IFERROR(__xludf.DUMMYFUNCTION("""COMPUTED_VALUE"""),"Shields")</f>
        <v>Shields</v>
      </c>
      <c r="B2" s="7"/>
      <c r="C2" s="7"/>
      <c r="D2" s="7"/>
      <c r="E2" s="7"/>
      <c r="F2" s="7"/>
      <c r="G2" s="7"/>
      <c r="H2" s="7"/>
      <c r="I2" s="8"/>
    </row>
    <row r="3">
      <c r="A3" s="53" t="str">
        <f>IFERROR(__xludf.DUMMYFUNCTION("""COMPUTED_VALUE"""),"Pot Lid")</f>
        <v>Pot Lid</v>
      </c>
      <c r="B3" s="31" t="str">
        <f>IFERROR(__xludf.DUMMYFUNCTION("""COMPUTED_VALUE"""),"Defence
Block %")</f>
        <v>Defence
Block %</v>
      </c>
      <c r="C3" s="31" t="str">
        <f>IFERROR(__xludf.DUMMYFUNCTION("""COMPUTED_VALUE"""),"2
5")</f>
        <v>2
5</v>
      </c>
      <c r="D3" s="31" t="str">
        <f>IFERROR(__xludf.DUMMYFUNCTION("""COMPUTED_VALUE"""),"3
5")</f>
        <v>3
5</v>
      </c>
      <c r="E3" s="31" t="str">
        <f>IFERROR(__xludf.DUMMYFUNCTION("""COMPUTED_VALUE"""),"4
5")</f>
        <v>4
5</v>
      </c>
      <c r="F3" s="31" t="str">
        <f>IFERROR(__xludf.DUMMYFUNCTION("""COMPUTED_VALUE"""),"5
5")</f>
        <v>5
5</v>
      </c>
      <c r="G3" s="31" t="str">
        <f>IFERROR(__xludf.DUMMYFUNCTION("""COMPUTED_VALUE"""),"--")</f>
        <v>--</v>
      </c>
      <c r="H3" s="41" t="str">
        <f>IFERROR(__xludf.DUMMYFUNCTION("""COMPUTED_VALUE"""),"Heliodor Region: 40")</f>
        <v>Heliodor Region: 40</v>
      </c>
      <c r="I3" s="41"/>
    </row>
    <row r="4">
      <c r="A4" s="54" t="str">
        <f>IFERROR(__xludf.DUMMYFUNCTION("""COMPUTED_VALUE"""),"Leather Shield")</f>
        <v>Leather Shield</v>
      </c>
      <c r="B4" s="30" t="str">
        <f>IFERROR(__xludf.DUMMYFUNCTION("""COMPUTED_VALUE"""),"Defence
Block %")</f>
        <v>Defence
Block %</v>
      </c>
      <c r="C4" s="30" t="str">
        <f>IFERROR(__xludf.DUMMYFUNCTION("""COMPUTED_VALUE"""),"4
5")</f>
        <v>4
5</v>
      </c>
      <c r="D4" s="30" t="str">
        <f>IFERROR(__xludf.DUMMYFUNCTION("""COMPUTED_VALUE"""),"5
5")</f>
        <v>5
5</v>
      </c>
      <c r="E4" s="30" t="str">
        <f>IFERROR(__xludf.DUMMYFUNCTION("""COMPUTED_VALUE"""),"6
5")</f>
        <v>6
5</v>
      </c>
      <c r="F4" s="30" t="str">
        <f>IFERROR(__xludf.DUMMYFUNCTION("""COMPUTED_VALUE"""),"7
5")</f>
        <v>7
5</v>
      </c>
      <c r="G4" s="30" t="str">
        <f>IFERROR(__xludf.DUMMYFUNCTION("""COMPUTED_VALUE"""),"--")</f>
        <v>--</v>
      </c>
      <c r="H4" s="42" t="str">
        <f>IFERROR(__xludf.DUMMYFUNCTION("""COMPUTED_VALUE"""),"Heliodor, Downtown, Manglegrove: 90")</f>
        <v>Heliodor, Downtown, Manglegrove: 90</v>
      </c>
      <c r="I4" s="42"/>
    </row>
    <row r="5">
      <c r="A5" s="53" t="str">
        <f>IFERROR(__xludf.DUMMYFUNCTION("""COMPUTED_VALUE"""),"Scale Shield")</f>
        <v>Scale Shield</v>
      </c>
      <c r="B5" s="31" t="str">
        <f>IFERROR(__xludf.DUMMYFUNCTION("""COMPUTED_VALUE"""),"Defence
Block %")</f>
        <v>Defence
Block %</v>
      </c>
      <c r="C5" s="31" t="str">
        <f>IFERROR(__xludf.DUMMYFUNCTION("""COMPUTED_VALUE"""),"7
5")</f>
        <v>7
5</v>
      </c>
      <c r="D5" s="31" t="str">
        <f>IFERROR(__xludf.DUMMYFUNCTION("""COMPUTED_VALUE"""),"8
5")</f>
        <v>8
5</v>
      </c>
      <c r="E5" s="31" t="str">
        <f>IFERROR(__xludf.DUMMYFUNCTION("""COMPUTED_VALUE"""),"9
5")</f>
        <v>9
5</v>
      </c>
      <c r="F5" s="31" t="str">
        <f>IFERROR(__xludf.DUMMYFUNCTION("""COMPUTED_VALUE"""),"10
5")</f>
        <v>10
5</v>
      </c>
      <c r="G5" s="31" t="str">
        <f>IFERROR(__xludf.DUMMYFUNCTION("""COMPUTED_VALUE"""),"--")</f>
        <v>--</v>
      </c>
      <c r="H5" s="41" t="str">
        <f>IFERROR(__xludf.DUMMYFUNCTION("""COMPUTED_VALUE"""),"Recipe: Economies of Scale
Emerald Coast, Hotto Steppe, Hotto, Laguna di Gondolia: 180")</f>
        <v>Recipe: Economies of Scale
Emerald Coast, Hotto Steppe, Hotto, Laguna di Gondolia: 180</v>
      </c>
      <c r="I5" s="41" t="str">
        <f>IFERROR(__xludf.DUMMYFUNCTION("""COMPUTED_VALUE"""),"Copper Ore: 1
Small Scale: 1")</f>
        <v>Copper Ore: 1
Small Scale: 1</v>
      </c>
    </row>
    <row r="6">
      <c r="A6" s="54" t="str">
        <f>IFERROR(__xludf.DUMMYFUNCTION("""COMPUTED_VALUE"""),"Silver Platter")</f>
        <v>Silver Platter</v>
      </c>
      <c r="B6" s="30" t="str">
        <f>IFERROR(__xludf.DUMMYFUNCTION("""COMPUTED_VALUE"""),"Defence
Block %
Charm")</f>
        <v>Defence
Block %
Charm</v>
      </c>
      <c r="C6" s="30" t="str">
        <f>IFERROR(__xludf.DUMMYFUNCTION("""COMPUTED_VALUE"""),"8
5
4")</f>
        <v>8
5
4</v>
      </c>
      <c r="D6" s="30" t="str">
        <f>IFERROR(__xludf.DUMMYFUNCTION("""COMPUTED_VALUE"""),"9
5
5")</f>
        <v>9
5
5</v>
      </c>
      <c r="E6" s="30" t="str">
        <f>IFERROR(__xludf.DUMMYFUNCTION("""COMPUTED_VALUE"""),"11
5
5")</f>
        <v>11
5
5</v>
      </c>
      <c r="F6" s="30" t="str">
        <f>IFERROR(__xludf.DUMMYFUNCTION("""COMPUTED_VALUE"""),"13
5
6")</f>
        <v>13
5
6</v>
      </c>
      <c r="G6" s="30" t="str">
        <f>IFERROR(__xludf.DUMMYFUNCTION("""COMPUTED_VALUE"""),"--")</f>
        <v>--</v>
      </c>
      <c r="H6" s="42" t="str">
        <f>IFERROR(__xludf.DUMMYFUNCTION("""COMPUTED_VALUE"""),"Gallopolis: 270")</f>
        <v>Gallopolis: 270</v>
      </c>
      <c r="I6" s="42"/>
    </row>
    <row r="7">
      <c r="A7" s="53" t="str">
        <f>IFERROR(__xludf.DUMMYFUNCTION("""COMPUTED_VALUE"""),"Gold Platter")</f>
        <v>Gold Platter</v>
      </c>
      <c r="B7" s="31" t="str">
        <f>IFERROR(__xludf.DUMMYFUNCTION("""COMPUTED_VALUE"""),"Defence
Block %
Charm")</f>
        <v>Defence
Block %
Charm</v>
      </c>
      <c r="C7" s="31" t="str">
        <f>IFERROR(__xludf.DUMMYFUNCTION("""COMPUTED_VALUE"""),"12
5
6")</f>
        <v>12
5
6</v>
      </c>
      <c r="D7" s="31" t="str">
        <f>IFERROR(__xludf.DUMMYFUNCTION("""COMPUTED_VALUE"""),"13
5
7")</f>
        <v>13
5
7</v>
      </c>
      <c r="E7" s="31" t="str">
        <f>IFERROR(__xludf.DUMMYFUNCTION("""COMPUTED_VALUE"""),"15
5
8")</f>
        <v>15
5
8</v>
      </c>
      <c r="F7" s="31" t="str">
        <f>IFERROR(__xludf.DUMMYFUNCTION("""COMPUTED_VALUE"""),"17
5
9")</f>
        <v>17
5
9</v>
      </c>
      <c r="G7" s="31" t="str">
        <f>IFERROR(__xludf.DUMMYFUNCTION("""COMPUTED_VALUE"""),"--")</f>
        <v>--</v>
      </c>
      <c r="H7" s="41" t="str">
        <f>IFERROR(__xludf.DUMMYFUNCTION("""COMPUTED_VALUE"""),"Recipe: Filigree for Fun and Profit
Gondolia, Octagonia, Costa Valor, Puerto Valor: 540")</f>
        <v>Recipe: Filigree for Fun and Profit
Gondolia, Octagonia, Costa Valor, Puerto Valor: 540</v>
      </c>
      <c r="I7" s="41" t="str">
        <f>IFERROR(__xludf.DUMMYFUNCTION("""COMPUTED_VALUE"""),"Gold Ore: 1
Copper Ore: 1")</f>
        <v>Gold Ore: 1
Copper Ore: 1</v>
      </c>
    </row>
    <row r="8">
      <c r="A8" s="54" t="str">
        <f>IFERROR(__xludf.DUMMYFUNCTION("""COMPUTED_VALUE"""),"Light Shield")</f>
        <v>Light Shield</v>
      </c>
      <c r="B8" s="30" t="str">
        <f>IFERROR(__xludf.DUMMYFUNCTION("""COMPUTED_VALUE"""),"Defence
Block %")</f>
        <v>Defence
Block %</v>
      </c>
      <c r="C8" s="30" t="str">
        <f>IFERROR(__xludf.DUMMYFUNCTION("""COMPUTED_VALUE"""),"17
6")</f>
        <v>17
6</v>
      </c>
      <c r="D8" s="30" t="str">
        <f>IFERROR(__xludf.DUMMYFUNCTION("""COMPUTED_VALUE"""),"18
6")</f>
        <v>18
6</v>
      </c>
      <c r="E8" s="30" t="str">
        <f>IFERROR(__xludf.DUMMYFUNCTION("""COMPUTED_VALUE"""),"20
6")</f>
        <v>20
6</v>
      </c>
      <c r="F8" s="30" t="str">
        <f>IFERROR(__xludf.DUMMYFUNCTION("""COMPUTED_VALUE"""),"22
6")</f>
        <v>22
6</v>
      </c>
      <c r="G8" s="30" t="str">
        <f>IFERROR(__xludf.DUMMYFUNCTION("""COMPUTED_VALUE"""),"--")</f>
        <v>--</v>
      </c>
      <c r="H8" s="42" t="str">
        <f>IFERROR(__xludf.DUMMYFUNCTION("""COMPUTED_VALUE"""),"Lonalulu, Phnom Nonh: 1250
Common: Metal Slime Knight")</f>
        <v>Lonalulu, Phnom Nonh: 1250
Common: Metal Slime Knight</v>
      </c>
      <c r="I8" s="42"/>
    </row>
    <row r="9">
      <c r="A9" s="53" t="str">
        <f>IFERROR(__xludf.DUMMYFUNCTION("""COMPUTED_VALUE"""),"Platinum Platter")</f>
        <v>Platinum Platter</v>
      </c>
      <c r="B9" s="31" t="str">
        <f>IFERROR(__xludf.DUMMYFUNCTION("""COMPUTED_VALUE"""),"Defence
Block %
Charm")</f>
        <v>Defence
Block %
Charm</v>
      </c>
      <c r="C9" s="31" t="str">
        <f>IFERROR(__xludf.DUMMYFUNCTION("""COMPUTED_VALUE"""),"20
6
10")</f>
        <v>20
6
10</v>
      </c>
      <c r="D9" s="31" t="str">
        <f>IFERROR(__xludf.DUMMYFUNCTION("""COMPUTED_VALUE"""),"21
6
11")</f>
        <v>21
6
11</v>
      </c>
      <c r="E9" s="31" t="str">
        <f>IFERROR(__xludf.DUMMYFUNCTION("""COMPUTED_VALUE"""),"23
6
12")</f>
        <v>23
6
12</v>
      </c>
      <c r="F9" s="31" t="str">
        <f>IFERROR(__xludf.DUMMYFUNCTION("""COMPUTED_VALUE"""),"25
6
13")</f>
        <v>25
6
13</v>
      </c>
      <c r="G9" s="31" t="str">
        <f>IFERROR(__xludf.DUMMYFUNCTION("""COMPUTED_VALUE"""),"--")</f>
        <v>--</v>
      </c>
      <c r="H9" s="41" t="str">
        <f>IFERROR(__xludf.DUMMYFUNCTION("""COMPUTED_VALUE"""),"Recipe: Platinum Protection")</f>
        <v>Recipe: Platinum Protection</v>
      </c>
      <c r="I9" s="41" t="str">
        <f>IFERROR(__xludf.DUMMYFUNCTION("""COMPUTED_VALUE"""),"Platinum Ore: 1
Glass Frit: 1")</f>
        <v>Platinum Ore: 1
Glass Frit: 1</v>
      </c>
    </row>
    <row r="10">
      <c r="A10" s="54" t="str">
        <f>IFERROR(__xludf.DUMMYFUNCTION("""COMPUTED_VALUE"""),"White Shield")</f>
        <v>White Shield</v>
      </c>
      <c r="B10" s="30" t="str">
        <f>IFERROR(__xludf.DUMMYFUNCTION("""COMPUTED_VALUE"""),"Defence
Block %")</f>
        <v>Defence
Block %</v>
      </c>
      <c r="C10" s="30" t="str">
        <f>IFERROR(__xludf.DUMMYFUNCTION("""COMPUTED_VALUE"""),"24
6")</f>
        <v>24
6</v>
      </c>
      <c r="D10" s="30" t="str">
        <f>IFERROR(__xludf.DUMMYFUNCTION("""COMPUTED_VALUE"""),"25
6")</f>
        <v>25
6</v>
      </c>
      <c r="E10" s="30" t="str">
        <f>IFERROR(__xludf.DUMMYFUNCTION("""COMPUTED_VALUE"""),"27
6")</f>
        <v>27
6</v>
      </c>
      <c r="F10" s="30" t="str">
        <f>IFERROR(__xludf.DUMMYFUNCTION("""COMPUTED_VALUE"""),"29
6")</f>
        <v>29
6</v>
      </c>
      <c r="G10" s="30" t="str">
        <f>IFERROR(__xludf.DUMMYFUNCTION("""COMPUTED_VALUE"""),"Fire Damage Reduction (5%)")</f>
        <v>Fire Damage Reduction (5%)</v>
      </c>
      <c r="H10" s="42" t="str">
        <f>IFERROR(__xludf.DUMMYFUNCTION("""COMPUTED_VALUE"""),"Emerald Coast, Sniflheim: 3300
Puerto Valor Casino: 5000")</f>
        <v>Emerald Coast, Sniflheim: 3300
Puerto Valor Casino: 5000</v>
      </c>
      <c r="I10" s="42"/>
    </row>
    <row r="11">
      <c r="A11" s="53" t="str">
        <f>IFERROR(__xludf.DUMMYFUNCTION("""COMPUTED_VALUE"""),"Magic Shield")</f>
        <v>Magic Shield</v>
      </c>
      <c r="B11" s="31" t="str">
        <f>IFERROR(__xludf.DUMMYFUNCTION("""COMPUTED_VALUE"""),"Defence
Block %
Magic Might
Magic Mend")</f>
        <v>Defence
Block %
Magic Might
Magic Mend</v>
      </c>
      <c r="C11" s="31" t="str">
        <f>IFERROR(__xludf.DUMMYFUNCTION("""COMPUTED_VALUE"""),"27
6
12
11")</f>
        <v>27
6
12
11</v>
      </c>
      <c r="D11" s="31" t="str">
        <f>IFERROR(__xludf.DUMMYFUNCTION("""COMPUTED_VALUE"""),"28
6
13
12")</f>
        <v>28
6
13
12</v>
      </c>
      <c r="E11" s="31" t="str">
        <f>IFERROR(__xludf.DUMMYFUNCTION("""COMPUTED_VALUE"""),"30
6
14
13")</f>
        <v>30
6
14
13</v>
      </c>
      <c r="F11" s="31" t="str">
        <f>IFERROR(__xludf.DUMMYFUNCTION("""COMPUTED_VALUE"""),"32
6
15
14")</f>
        <v>32
6
15
14</v>
      </c>
      <c r="G11" s="31" t="str">
        <f>IFERROR(__xludf.DUMMYFUNCTION("""COMPUTED_VALUE"""),"Elemental Damage Reduction (5%)")</f>
        <v>Elemental Damage Reduction (5%)</v>
      </c>
      <c r="H11" s="41" t="str">
        <f>IFERROR(__xludf.DUMMYFUNCTION("""COMPUTED_VALUE"""),"Recipe: That's Magic
Puerto Valor, Champs Sauvage, Phnom Nonh, Angri-La: 5000
Rare: Gleeful Grublin")</f>
        <v>Recipe: That's Magic
Puerto Valor, Champs Sauvage, Phnom Nonh, Angri-La: 5000
Rare: Gleeful Grublin</v>
      </c>
      <c r="I11" s="41" t="str">
        <f>IFERROR(__xludf.DUMMYFUNCTION("""COMPUTED_VALUE"""),"Platinum Ore: 1
Spellbound Bough: 1
Blue Eye: 1")</f>
        <v>Platinum Ore: 1
Spellbound Bough: 1
Blue Eye: 1</v>
      </c>
    </row>
    <row r="12">
      <c r="A12" s="54" t="str">
        <f>IFERROR(__xludf.DUMMYFUNCTION("""COMPUTED_VALUE"""),"Enchanted Shield")</f>
        <v>Enchanted Shield</v>
      </c>
      <c r="B12" s="30" t="str">
        <f>IFERROR(__xludf.DUMMYFUNCTION("""COMPUTED_VALUE"""),"Defence
Block %
Magic Might
Magic Mend")</f>
        <v>Defence
Block %
Magic Might
Magic Mend</v>
      </c>
      <c r="C12" s="30" t="str">
        <f>IFERROR(__xludf.DUMMYFUNCTION("""COMPUTED_VALUE"""),"33
6
16
16")</f>
        <v>33
6
16
16</v>
      </c>
      <c r="D12" s="30" t="str">
        <f>IFERROR(__xludf.DUMMYFUNCTION("""COMPUTED_VALUE"""),"34
7
17
17")</f>
        <v>34
7
17
17</v>
      </c>
      <c r="E12" s="30" t="str">
        <f>IFERROR(__xludf.DUMMYFUNCTION("""COMPUTED_VALUE"""),"36
7
17
17")</f>
        <v>36
7
17
17</v>
      </c>
      <c r="F12" s="30" t="str">
        <f>IFERROR(__xludf.DUMMYFUNCTION("""COMPUTED_VALUE"""),"38
7
19
19")</f>
        <v>38
7
19
19</v>
      </c>
      <c r="G12" s="30" t="str">
        <f>IFERROR(__xludf.DUMMYFUNCTION("""COMPUTED_VALUE"""),"Elemental Damage Reduction (10%)")</f>
        <v>Elemental Damage Reduction (10%)</v>
      </c>
      <c r="H12" s="42" t="str">
        <f>IFERROR(__xludf.DUMMYFUNCTION("""COMPUTED_VALUE"""),"Recipe: Some Reflections on Protection")</f>
        <v>Recipe: Some Reflections on Protection</v>
      </c>
      <c r="I12" s="42" t="str">
        <f>IFERROR(__xludf.DUMMYFUNCTION("""COMPUTED_VALUE"""),"Platinum Ore: 2
Royal Soil: 3
Enchanted Stone: 1")</f>
        <v>Platinum Ore: 2
Royal Soil: 3
Enchanted Stone: 1</v>
      </c>
    </row>
    <row r="13">
      <c r="A13" s="53" t="str">
        <f>IFERROR(__xludf.DUMMYFUNCTION("""COMPUTED_VALUE"""),"Ice Shield")</f>
        <v>Ice Shield</v>
      </c>
      <c r="B13" s="31" t="str">
        <f>IFERROR(__xludf.DUMMYFUNCTION("""COMPUTED_VALUE"""),"Defence
Block %")</f>
        <v>Defence
Block %</v>
      </c>
      <c r="C13" s="31" t="str">
        <f>IFERROR(__xludf.DUMMYFUNCTION("""COMPUTED_VALUE"""),"33
7")</f>
        <v>33
7</v>
      </c>
      <c r="D13" s="31" t="str">
        <f>IFERROR(__xludf.DUMMYFUNCTION("""COMPUTED_VALUE"""),"34
7")</f>
        <v>34
7</v>
      </c>
      <c r="E13" s="31" t="str">
        <f>IFERROR(__xludf.DUMMYFUNCTION("""COMPUTED_VALUE"""),"36
7")</f>
        <v>36
7</v>
      </c>
      <c r="F13" s="31" t="str">
        <f>IFERROR(__xludf.DUMMYFUNCTION("""COMPUTED_VALUE"""),"38
7")</f>
        <v>38
7</v>
      </c>
      <c r="G13" s="31" t="str">
        <f>IFERROR(__xludf.DUMMYFUNCTION("""COMPUTED_VALUE"""),"Ice Damage Reduction (10%)")</f>
        <v>Ice Damage Reduction (10%)</v>
      </c>
      <c r="H13" s="41" t="str">
        <f>IFERROR(__xludf.DUMMYFUNCTION("""COMPUTED_VALUE"""),"Sniflheim, Snaerfelt: 7100
Rare: Snowgre")</f>
        <v>Sniflheim, Snaerfelt: 7100
Rare: Snowgre</v>
      </c>
      <c r="I13" s="41"/>
    </row>
    <row r="14">
      <c r="A14" s="54" t="str">
        <f>IFERROR(__xludf.DUMMYFUNCTION("""COMPUTED_VALUE"""),"Ethereal Shield")</f>
        <v>Ethereal Shield</v>
      </c>
      <c r="B14" s="30" t="str">
        <f>IFERROR(__xludf.DUMMYFUNCTION("""COMPUTED_VALUE"""),"Defence
Block %
Magic Might
Magic Mend")</f>
        <v>Defence
Block %
Magic Might
Magic Mend</v>
      </c>
      <c r="C14" s="30" t="str">
        <f>IFERROR(__xludf.DUMMYFUNCTION("""COMPUTED_VALUE"""),"36
7
18
18")</f>
        <v>36
7
18
18</v>
      </c>
      <c r="D14" s="30" t="str">
        <f>IFERROR(__xludf.DUMMYFUNCTION("""COMPUTED_VALUE"""),"37
7
19
19")</f>
        <v>37
7
19
19</v>
      </c>
      <c r="E14" s="30" t="str">
        <f>IFERROR(__xludf.DUMMYFUNCTION("""COMPUTED_VALUE"""),"39
7
20
20")</f>
        <v>39
7
20
20</v>
      </c>
      <c r="F14" s="30" t="str">
        <f>IFERROR(__xludf.DUMMYFUNCTION("""COMPUTED_VALUE"""),"41
7
21
22")</f>
        <v>41
7
21
22</v>
      </c>
      <c r="G14" s="30" t="str">
        <f>IFERROR(__xludf.DUMMYFUNCTION("""COMPUTED_VALUE"""),"Elemental Damage Reduction (10%)")</f>
        <v>Elemental Damage Reduction (10%)</v>
      </c>
      <c r="H14" s="42" t="str">
        <f>IFERROR(__xludf.DUMMYFUNCTION("""COMPUTED_VALUE"""),"Recipe: Your Very Own Aegis of Illusions
Gallopolis, Gondolia, Arboria: 12000")</f>
        <v>Recipe: Your Very Own Aegis of Illusions
Gallopolis, Gondolia, Arboria: 12000</v>
      </c>
      <c r="I14" s="42" t="str">
        <f>IFERROR(__xludf.DUMMYFUNCTION("""COMPUTED_VALUE"""),"Brighten Rock: 3
Mirrorstone: 2
Ethereal Stone: 1
Royal Soil: 2")</f>
        <v>Brighten Rock: 3
Mirrorstone: 2
Ethereal Stone: 1
Royal Soil: 2</v>
      </c>
    </row>
    <row r="15">
      <c r="A15" s="53" t="str">
        <f>IFERROR(__xludf.DUMMYFUNCTION("""COMPUTED_VALUE"""),"Metal Slime Shield")</f>
        <v>Metal Slime Shield</v>
      </c>
      <c r="B15" s="31" t="str">
        <f>IFERROR(__xludf.DUMMYFUNCTION("""COMPUTED_VALUE"""),"Defence
Block %")</f>
        <v>Defence
Block %</v>
      </c>
      <c r="C15" s="31" t="str">
        <f>IFERROR(__xludf.DUMMYFUNCTION("""COMPUTED_VALUE"""),"39
7")</f>
        <v>39
7</v>
      </c>
      <c r="D15" s="31" t="str">
        <f>IFERROR(__xludf.DUMMYFUNCTION("""COMPUTED_VALUE"""),"40
7")</f>
        <v>40
7</v>
      </c>
      <c r="E15" s="31" t="str">
        <f>IFERROR(__xludf.DUMMYFUNCTION("""COMPUTED_VALUE"""),"42
7")</f>
        <v>42
7</v>
      </c>
      <c r="F15" s="31" t="str">
        <f>IFERROR(__xludf.DUMMYFUNCTION("""COMPUTED_VALUE"""),"44
8")</f>
        <v>44
8</v>
      </c>
      <c r="G15" s="31" t="str">
        <f>IFERROR(__xludf.DUMMYFUNCTION("""COMPUTED_VALUE"""),"Elemental Damage Reduction (5%)")</f>
        <v>Elemental Damage Reduction (5%)</v>
      </c>
      <c r="H15" s="41" t="str">
        <f>IFERROR(__xludf.DUMMYFUNCTION("""COMPUTED_VALUE"""),"Recipe: Things to Do with Metal Goo")</f>
        <v>Recipe: Things to Do with Metal Goo</v>
      </c>
      <c r="I15" s="41" t="str">
        <f>IFERROR(__xludf.DUMMYFUNCTION("""COMPUTED_VALUE"""),"Molten Globules: 1
Slimedrop: 1
Big Bone: 2
Sun-Bleached Seashell: 2")</f>
        <v>Molten Globules: 1
Slimedrop: 1
Big Bone: 2
Sun-Bleached Seashell: 2</v>
      </c>
    </row>
    <row r="16">
      <c r="A16" s="54" t="str">
        <f>IFERROR(__xludf.DUMMYFUNCTION("""COMPUTED_VALUE"""),"Flame Shield")</f>
        <v>Flame Shield</v>
      </c>
      <c r="B16" s="30" t="str">
        <f>IFERROR(__xludf.DUMMYFUNCTION("""COMPUTED_VALUE"""),"Defence
Block %")</f>
        <v>Defence
Block %</v>
      </c>
      <c r="C16" s="30" t="str">
        <f>IFERROR(__xludf.DUMMYFUNCTION("""COMPUTED_VALUE"""),"40
7")</f>
        <v>40
7</v>
      </c>
      <c r="D16" s="30" t="str">
        <f>IFERROR(__xludf.DUMMYFUNCTION("""COMPUTED_VALUE"""),"41
7")</f>
        <v>41
7</v>
      </c>
      <c r="E16" s="30" t="str">
        <f>IFERROR(__xludf.DUMMYFUNCTION("""COMPUTED_VALUE"""),"43
8")</f>
        <v>43
8</v>
      </c>
      <c r="F16" s="30" t="str">
        <f>IFERROR(__xludf.DUMMYFUNCTION("""COMPUTED_VALUE"""),"45
8")</f>
        <v>45
8</v>
      </c>
      <c r="G16" s="30" t="str">
        <f>IFERROR(__xludf.DUMMYFUNCTION("""COMPUTED_VALUE"""),"Fire Damage Reduction (10%)")</f>
        <v>Fire Damage Reduction (10%)</v>
      </c>
      <c r="H16" s="42" t="str">
        <f>IFERROR(__xludf.DUMMYFUNCTION("""COMPUTED_VALUE"""),"Hotto: 17000
Rare: Grumpy Grublin")</f>
        <v>Hotto: 17000
Rare: Grumpy Grublin</v>
      </c>
      <c r="I16" s="42"/>
    </row>
    <row r="17">
      <c r="A17" s="53" t="str">
        <f>IFERROR(__xludf.DUMMYFUNCTION("""COMPUTED_VALUE"""),"Liquid Metal Shield")</f>
        <v>Liquid Metal Shield</v>
      </c>
      <c r="B17" s="31" t="str">
        <f>IFERROR(__xludf.DUMMYFUNCTION("""COMPUTED_VALUE"""),"Defence
Block %")</f>
        <v>Defence
Block %</v>
      </c>
      <c r="C17" s="31" t="str">
        <f>IFERROR(__xludf.DUMMYFUNCTION("""COMPUTED_VALUE"""),"44
8")</f>
        <v>44
8</v>
      </c>
      <c r="D17" s="31" t="str">
        <f>IFERROR(__xludf.DUMMYFUNCTION("""COMPUTED_VALUE"""),"45
8")</f>
        <v>45
8</v>
      </c>
      <c r="E17" s="31" t="str">
        <f>IFERROR(__xludf.DUMMYFUNCTION("""COMPUTED_VALUE"""),"48
7")</f>
        <v>48
7</v>
      </c>
      <c r="F17" s="31" t="str">
        <f>IFERROR(__xludf.DUMMYFUNCTION("""COMPUTED_VALUE"""),"49
8")</f>
        <v>49
8</v>
      </c>
      <c r="G17" s="31" t="str">
        <f>IFERROR(__xludf.DUMMYFUNCTION("""COMPUTED_VALUE"""),"Elemental Damage Reduction (7%)")</f>
        <v>Elemental Damage Reduction (7%)</v>
      </c>
      <c r="H17" s="41" t="str">
        <f>IFERROR(__xludf.DUMMYFUNCTION("""COMPUTED_VALUE"""),"Recipe: In Fine Fettle with Liquid Metal")</f>
        <v>Recipe: In Fine Fettle with Liquid Metal</v>
      </c>
      <c r="I17" s="41" t="str">
        <f>IFERROR(__xludf.DUMMYFUNCTION("""COMPUTED_VALUE"""),"Molten Globules: 1
Goobricant: 1
Gold Nuglet: 2
Densinium: 2")</f>
        <v>Molten Globules: 1
Goobricant: 1
Gold Nuglet: 2
Densinium: 2</v>
      </c>
    </row>
    <row r="18">
      <c r="A18" s="54" t="str">
        <f>IFERROR(__xludf.DUMMYFUNCTION("""COMPUTED_VALUE"""),"Brain Drainer")</f>
        <v>Brain Drainer</v>
      </c>
      <c r="B18" s="30" t="str">
        <f>IFERROR(__xludf.DUMMYFUNCTION("""COMPUTED_VALUE"""),"Defence
Block %")</f>
        <v>Defence
Block %</v>
      </c>
      <c r="C18" s="30" t="str">
        <f>IFERROR(__xludf.DUMMYFUNCTION("""COMPUTED_VALUE"""),"45
8")</f>
        <v>45
8</v>
      </c>
      <c r="D18" s="30" t="str">
        <f>IFERROR(__xludf.DUMMYFUNCTION("""COMPUTED_VALUE"""),"46
8")</f>
        <v>46
8</v>
      </c>
      <c r="E18" s="30" t="str">
        <f>IFERROR(__xludf.DUMMYFUNCTION("""COMPUTED_VALUE"""),"48
8")</f>
        <v>48
8</v>
      </c>
      <c r="F18" s="30" t="str">
        <f>IFERROR(__xludf.DUMMYFUNCTION("""COMPUTED_VALUE"""),"50
8")</f>
        <v>50
8</v>
      </c>
      <c r="G18" s="30" t="str">
        <f>IFERROR(__xludf.DUMMYFUNCTION("""COMPUTED_VALUE"""),"Elemental Damage Reduction (5%)")</f>
        <v>Elemental Damage Reduction (5%)</v>
      </c>
      <c r="H18" s="42" t="str">
        <f>IFERROR(__xludf.DUMMYFUNCTION("""COMPUTED_VALUE"""),"Chest: The Battleground
Rare: Red Mist")</f>
        <v>Chest: The Battleground
Rare: Red Mist</v>
      </c>
      <c r="I18" s="42"/>
    </row>
    <row r="19">
      <c r="A19" s="53" t="str">
        <f>IFERROR(__xludf.DUMMYFUNCTION("""COMPUTED_VALUE"""),"Silver Shield")</f>
        <v>Silver Shield</v>
      </c>
      <c r="B19" s="31" t="str">
        <f>IFERROR(__xludf.DUMMYFUNCTION("""COMPUTED_VALUE"""),"Defence
Block %
Charm")</f>
        <v>Defence
Block %
Charm</v>
      </c>
      <c r="C19" s="31" t="str">
        <f>IFERROR(__xludf.DUMMYFUNCTION("""COMPUTED_VALUE"""),"51
8
32")</f>
        <v>51
8
32</v>
      </c>
      <c r="D19" s="31" t="str">
        <f>IFERROR(__xludf.DUMMYFUNCTION("""COMPUTED_VALUE"""),"54
8
33")</f>
        <v>54
8
33</v>
      </c>
      <c r="E19" s="31" t="str">
        <f>IFERROR(__xludf.DUMMYFUNCTION("""COMPUTED_VALUE"""),"57
8
34")</f>
        <v>57
8
34</v>
      </c>
      <c r="F19" s="31" t="str">
        <f>IFERROR(__xludf.DUMMYFUNCTION("""COMPUTED_VALUE"""),"61
9
36")</f>
        <v>61
9
36</v>
      </c>
      <c r="G19" s="31" t="str">
        <f>IFERROR(__xludf.DUMMYFUNCTION("""COMPUTED_VALUE"""),"Fire Damage Reduction (10%)
Lightning Damage Reduction (20%)
MP Theft Reduction (25%)")</f>
        <v>Fire Damage Reduction (10%)
Lightning Damage Reduction (20%)
MP Theft Reduction (25%)</v>
      </c>
      <c r="H19" s="41" t="str">
        <f>IFERROR(__xludf.DUMMYFUNCTION("""COMPUTED_VALUE"""),"Havens Above, Trial Isle: 33000")</f>
        <v>Havens Above, Trial Isle: 33000</v>
      </c>
      <c r="I19" s="41"/>
    </row>
    <row r="20">
      <c r="A20" s="54" t="str">
        <f>IFERROR(__xludf.DUMMYFUNCTION("""COMPUTED_VALUE"""),"Psyche Swiper")</f>
        <v>Psyche Swiper</v>
      </c>
      <c r="B20" s="30" t="str">
        <f>IFERROR(__xludf.DUMMYFUNCTION("""COMPUTED_VALUE"""),"Defence
Block %")</f>
        <v>Defence
Block %</v>
      </c>
      <c r="C20" s="30" t="str">
        <f>IFERROR(__xludf.DUMMYFUNCTION("""COMPUTED_VALUE"""),"52
8")</f>
        <v>52
8</v>
      </c>
      <c r="D20" s="30" t="str">
        <f>IFERROR(__xludf.DUMMYFUNCTION("""COMPUTED_VALUE"""),"54
8")</f>
        <v>54
8</v>
      </c>
      <c r="E20" s="30" t="str">
        <f>IFERROR(__xludf.DUMMYFUNCTION("""COMPUTED_VALUE"""),"57
8")</f>
        <v>57
8</v>
      </c>
      <c r="F20" s="30" t="str">
        <f>IFERROR(__xludf.DUMMYFUNCTION("""COMPUTED_VALUE"""),"62
9")</f>
        <v>62
9</v>
      </c>
      <c r="G20" s="30" t="str">
        <f>IFERROR(__xludf.DUMMYFUNCTION("""COMPUTED_VALUE"""),"Elemental Damage Reduction (10%)")</f>
        <v>Elemental Damage Reduction (10%)</v>
      </c>
      <c r="H20" s="42" t="str">
        <f>IFERROR(__xludf.DUMMYFUNCTION("""COMPUTED_VALUE"""),"Chest: Drustan's Labyrinth - Trial Isle
Rare: Knight Abhorrent")</f>
        <v>Chest: Drustan's Labyrinth - Trial Isle
Rare: Knight Abhorrent</v>
      </c>
      <c r="I20" s="42"/>
    </row>
    <row r="21">
      <c r="A21" s="53" t="str">
        <f>IFERROR(__xludf.DUMMYFUNCTION("""COMPUTED_VALUE"""),"Devilry Drinker")</f>
        <v>Devilry Drinker</v>
      </c>
      <c r="B21" s="31" t="str">
        <f>IFERROR(__xludf.DUMMYFUNCTION("""COMPUTED_VALUE"""),"Defence
Block %")</f>
        <v>Defence
Block %</v>
      </c>
      <c r="C21" s="31" t="str">
        <f>IFERROR(__xludf.DUMMYFUNCTION("""COMPUTED_VALUE"""),"63
9")</f>
        <v>63
9</v>
      </c>
      <c r="D21" s="31" t="str">
        <f>IFERROR(__xludf.DUMMYFUNCTION("""COMPUTED_VALUE"""),"66
9")</f>
        <v>66
9</v>
      </c>
      <c r="E21" s="31" t="str">
        <f>IFERROR(__xludf.DUMMYFUNCTION("""COMPUTED_VALUE"""),"70
9")</f>
        <v>70
9</v>
      </c>
      <c r="F21" s="31" t="str">
        <f>IFERROR(__xludf.DUMMYFUNCTION("""COMPUTED_VALUE"""),"74
9")</f>
        <v>74
9</v>
      </c>
      <c r="G21" s="31" t="str">
        <f>IFERROR(__xludf.DUMMYFUNCTION("""COMPUTED_VALUE"""),"Elemental Damage Reduction (10%)")</f>
        <v>Elemental Damage Reduction (10%)</v>
      </c>
      <c r="H21" s="41" t="str">
        <f>IFERROR(__xludf.DUMMYFUNCTION("""COMPUTED_VALUE"""),"Puerto Valor Casino: 800000
Common: Hooper Duper")</f>
        <v>Puerto Valor Casino: 800000
Common: Hooper Duper</v>
      </c>
      <c r="I21" s="41"/>
    </row>
    <row r="22">
      <c r="A22" s="14" t="str">
        <f>IFERROR(__xludf.DUMMYFUNCTION("""COMPUTED_VALUE"""),"Soul Sucker")</f>
        <v>Soul Sucker</v>
      </c>
      <c r="B22" s="30" t="str">
        <f>IFERROR(__xludf.DUMMYFUNCTION("""COMPUTED_VALUE"""),"Defence
Block %")</f>
        <v>Defence
Block %</v>
      </c>
      <c r="C22" s="30" t="str">
        <f>IFERROR(__xludf.DUMMYFUNCTION("""COMPUTED_VALUE"""),"73
9")</f>
        <v>73
9</v>
      </c>
      <c r="D22" s="30" t="str">
        <f>IFERROR(__xludf.DUMMYFUNCTION("""COMPUTED_VALUE"""),"76
10")</f>
        <v>76
10</v>
      </c>
      <c r="E22" s="30" t="str">
        <f>IFERROR(__xludf.DUMMYFUNCTION("""COMPUTED_VALUE"""),"79
10")</f>
        <v>79
10</v>
      </c>
      <c r="F22" s="30" t="str">
        <f>IFERROR(__xludf.DUMMYFUNCTION("""COMPUTED_VALUE"""),"83
10")</f>
        <v>83
10</v>
      </c>
      <c r="G22" s="30" t="str">
        <f>IFERROR(__xludf.DUMMYFUNCTION("""COMPUTED_VALUE"""),"Elemental Damage Reduction (10%)")</f>
        <v>Elemental Damage Reduction (10%)</v>
      </c>
      <c r="H22" s="42" t="str">
        <f>IFERROR(__xludf.DUMMYFUNCTION("""COMPUTED_VALUE"""),"Recipe: Ye Manifold Methods of Mighty Drustan")</f>
        <v>Recipe: Ye Manifold Methods of Mighty Drustan</v>
      </c>
      <c r="I22" s="42" t="str">
        <f>IFERROR(__xludf.DUMMYFUNCTION("""COMPUTED_VALUE"""),"Orichalcum: 2
Crimsonite: 1
Uber Agate of Evolution: 1
Snakeskin: 3
Chronocrystal: 2")</f>
        <v>Orichalcum: 2
Crimsonite: 1
Uber Agate of Evolution: 1
Snakeskin: 3
Chronocrystal: 2</v>
      </c>
    </row>
    <row r="23">
      <c r="A23" s="10" t="str">
        <f>IFERROR(__xludf.DUMMYFUNCTION("""COMPUTED_VALUE"""),"Metal King Shield")</f>
        <v>Metal King Shield</v>
      </c>
      <c r="B23" s="31" t="str">
        <f>IFERROR(__xludf.DUMMYFUNCTION("""COMPUTED_VALUE"""),"Defence
Block %")</f>
        <v>Defence
Block %</v>
      </c>
      <c r="C23" s="31" t="str">
        <f>IFERROR(__xludf.DUMMYFUNCTION("""COMPUTED_VALUE"""),"75
9")</f>
        <v>75
9</v>
      </c>
      <c r="D23" s="31" t="str">
        <f>IFERROR(__xludf.DUMMYFUNCTION("""COMPUTED_VALUE"""),"78
10")</f>
        <v>78
10</v>
      </c>
      <c r="E23" s="31" t="str">
        <f>IFERROR(__xludf.DUMMYFUNCTION("""COMPUTED_VALUE"""),"82
10")</f>
        <v>82
10</v>
      </c>
      <c r="F23" s="31" t="str">
        <f>IFERROR(__xludf.DUMMYFUNCTION("""COMPUTED_VALUE"""),"86
10")</f>
        <v>86
10</v>
      </c>
      <c r="G23" s="31" t="str">
        <f>IFERROR(__xludf.DUMMYFUNCTION("""COMPUTED_VALUE"""),"Elemental Damage Reduction (10%)")</f>
        <v>Elemental Damage Reduction (10%)</v>
      </c>
      <c r="H23" s="41" t="str">
        <f>IFERROR(__xludf.DUMMYFUNCTION("""COMPUTED_VALUE"""),"Recipe: Making Things with Metal Kings")</f>
        <v>Recipe: Making Things with Metal Kings</v>
      </c>
      <c r="I23" s="41" t="str">
        <f>IFERROR(__xludf.DUMMYFUNCTION("""COMPUTED_VALUE"""),"Molten Globules: 1
Slime Crown: 1
Cumulonimbough: 1
Gold Nuglet: 2")</f>
        <v>Molten Globules: 1
Slime Crown: 1
Cumulonimbough: 1
Gold Nuglet: 2</v>
      </c>
    </row>
    <row r="24">
      <c r="A24" s="14" t="str">
        <f>IFERROR(__xludf.DUMMYFUNCTION("""COMPUTED_VALUE"""),"Erdwin's Shield")</f>
        <v>Erdwin's Shield</v>
      </c>
      <c r="B24" s="30" t="str">
        <f>IFERROR(__xludf.DUMMYFUNCTION("""COMPUTED_VALUE"""),"Defence
Block %")</f>
        <v>Defence
Block %</v>
      </c>
      <c r="C24" s="30" t="str">
        <f>IFERROR(__xludf.DUMMYFUNCTION("""COMPUTED_VALUE"""),"74
9")</f>
        <v>74
9</v>
      </c>
      <c r="D24" s="30" t="str">
        <f>IFERROR(__xludf.DUMMYFUNCTION("""COMPUTED_VALUE"""),"80
10")</f>
        <v>80
10</v>
      </c>
      <c r="E24" s="30" t="str">
        <f>IFERROR(__xludf.DUMMYFUNCTION("""COMPUTED_VALUE"""),"86
10")</f>
        <v>86
10</v>
      </c>
      <c r="F24" s="30" t="str">
        <f>IFERROR(__xludf.DUMMYFUNCTION("""COMPUTED_VALUE"""),"93
10")</f>
        <v>93
10</v>
      </c>
      <c r="G24" s="30" t="str">
        <f>IFERROR(__xludf.DUMMYFUNCTION("""COMPUTED_VALUE"""),"Fire Damage Reduction (25%)
Ice Damage Reduction (25%)
Dark Damage Reduction (25%)
MP/Turn (10)")</f>
        <v>Fire Damage Reduction (25%)
Ice Damage Reduction (25%)
Dark Damage Reduction (25%)
MP/Turn (10)</v>
      </c>
      <c r="H24" s="42" t="str">
        <f>IFERROR(__xludf.DUMMYFUNCTION("""COMPUTED_VALUE"""),"Mini Medal Stamp: 100")</f>
        <v>Mini Medal Stamp: 100</v>
      </c>
      <c r="I24" s="42"/>
    </row>
    <row r="25">
      <c r="A25" s="52" t="str">
        <f>IFERROR(__xludf.DUMMYFUNCTION("""COMPUTED_VALUE"""),"Greatshields")</f>
        <v>Greatshields</v>
      </c>
      <c r="B25" s="24"/>
      <c r="C25" s="24"/>
      <c r="D25" s="24"/>
      <c r="E25" s="24"/>
      <c r="F25" s="24"/>
      <c r="G25" s="24"/>
      <c r="H25" s="24"/>
      <c r="I25" s="25"/>
    </row>
    <row r="26">
      <c r="A26" s="14" t="str">
        <f>IFERROR(__xludf.DUMMYFUNCTION("""COMPUTED_VALUE"""),"Bronze Shield")</f>
        <v>Bronze Shield</v>
      </c>
      <c r="B26" s="30" t="str">
        <f>IFERROR(__xludf.DUMMYFUNCTION("""COMPUTED_VALUE"""),"Defence
Block %")</f>
        <v>Defence
Block %</v>
      </c>
      <c r="C26" s="30" t="str">
        <f>IFERROR(__xludf.DUMMYFUNCTION("""COMPUTED_VALUE"""),"10
6")</f>
        <v>10
6</v>
      </c>
      <c r="D26" s="30" t="str">
        <f>IFERROR(__xludf.DUMMYFUNCTION("""COMPUTED_VALUE"""),"11
6")</f>
        <v>11
6</v>
      </c>
      <c r="E26" s="30" t="str">
        <f>IFERROR(__xludf.DUMMYFUNCTION("""COMPUTED_VALUE"""),"12
6")</f>
        <v>12
6</v>
      </c>
      <c r="F26" s="30" t="str">
        <f>IFERROR(__xludf.DUMMYFUNCTION("""COMPUTED_VALUE"""),"13
6")</f>
        <v>13
6</v>
      </c>
      <c r="G26" s="30" t="str">
        <f>IFERROR(__xludf.DUMMYFUNCTION("""COMPUTED_VALUE"""),"--")</f>
        <v>--</v>
      </c>
      <c r="H26" s="42" t="str">
        <f>IFERROR(__xludf.DUMMYFUNCTION("""COMPUTED_VALUE"""),"Hotto Steppe, Hotto, Gallopolis, Laguna di Gondolia: 370")</f>
        <v>Hotto Steppe, Hotto, Gallopolis, Laguna di Gondolia: 370</v>
      </c>
      <c r="I26" s="42"/>
    </row>
    <row r="27">
      <c r="A27" s="10" t="str">
        <f>IFERROR(__xludf.DUMMYFUNCTION("""COMPUTED_VALUE"""),"Iron Shield")</f>
        <v>Iron Shield</v>
      </c>
      <c r="B27" s="31" t="str">
        <f>IFERROR(__xludf.DUMMYFUNCTION("""COMPUTED_VALUE"""),"Defence
Block %")</f>
        <v>Defence
Block %</v>
      </c>
      <c r="C27" s="31" t="str">
        <f>IFERROR(__xludf.DUMMYFUNCTION("""COMPUTED_VALUE"""),"15
7")</f>
        <v>15
7</v>
      </c>
      <c r="D27" s="31" t="str">
        <f>IFERROR(__xludf.DUMMYFUNCTION("""COMPUTED_VALUE"""),"16
7")</f>
        <v>16
7</v>
      </c>
      <c r="E27" s="31" t="str">
        <f>IFERROR(__xludf.DUMMYFUNCTION("""COMPUTED_VALUE"""),"17
7")</f>
        <v>17
7</v>
      </c>
      <c r="F27" s="31" t="str">
        <f>IFERROR(__xludf.DUMMYFUNCTION("""COMPUTED_VALUE"""),"18
8")</f>
        <v>18
8</v>
      </c>
      <c r="G27" s="31" t="str">
        <f>IFERROR(__xludf.DUMMYFUNCTION("""COMPUTED_VALUE"""),"Fire Damage Reduction (5%)
Ice Damage Reduction (5%)")</f>
        <v>Fire Damage Reduction (5%)
Ice Damage Reduction (5%)</v>
      </c>
      <c r="H27" s="48" t="str">
        <f>IFERROR(__xludf.DUMMYFUNCTION("""COMPUTED_VALUE"""),"Gondolia, Octagonia, Costa Valor: 720")</f>
        <v>Gondolia, Octagonia, Costa Valor: 720</v>
      </c>
      <c r="I27" s="46"/>
    </row>
    <row r="28">
      <c r="A28" s="14" t="str">
        <f>IFERROR(__xludf.DUMMYFUNCTION("""COMPUTED_VALUE"""),"Steel Shield")</f>
        <v>Steel Shield</v>
      </c>
      <c r="B28" s="30" t="str">
        <f>IFERROR(__xludf.DUMMYFUNCTION("""COMPUTED_VALUE"""),"Defence
Block %")</f>
        <v>Defence
Block %</v>
      </c>
      <c r="C28" s="30" t="str">
        <f>IFERROR(__xludf.DUMMYFUNCTION("""COMPUTED_VALUE"""),"22
8")</f>
        <v>22
8</v>
      </c>
      <c r="D28" s="30" t="str">
        <f>IFERROR(__xludf.DUMMYFUNCTION("""COMPUTED_VALUE"""),"23
8")</f>
        <v>23
8</v>
      </c>
      <c r="E28" s="30" t="str">
        <f>IFERROR(__xludf.DUMMYFUNCTION("""COMPUTED_VALUE"""),"24
8")</f>
        <v>24
8</v>
      </c>
      <c r="F28" s="30" t="str">
        <f>IFERROR(__xludf.DUMMYFUNCTION("""COMPUTED_VALUE"""),"25
8")</f>
        <v>25
8</v>
      </c>
      <c r="G28" s="30" t="str">
        <f>IFERROR(__xludf.DUMMYFUNCTION("""COMPUTED_VALUE"""),"Fire Damage Reduction (7%)
Ice Damage Reduction (7%)")</f>
        <v>Fire Damage Reduction (7%)
Ice Damage Reduction (7%)</v>
      </c>
      <c r="H28" s="42" t="str">
        <f>IFERROR(__xludf.DUMMYFUNCTION("""COMPUTED_VALUE"""),"Puerto Valor, Lonalulu, Phnom Nonh: 1500
Recipe: Smithing with Steel
Grublin")</f>
        <v>Puerto Valor, Lonalulu, Phnom Nonh: 1500
Recipe: Smithing with Steel
Grublin</v>
      </c>
      <c r="I28" s="42" t="str">
        <f>IFERROR(__xludf.DUMMYFUNCTION("""COMPUTED_VALUE"""),"Silver Ore: 2
Iron Ore: 1
Glass Frit: 2")</f>
        <v>Silver Ore: 2
Iron Ore: 1
Glass Frit: 2</v>
      </c>
    </row>
    <row r="29">
      <c r="A29" s="10" t="str">
        <f>IFERROR(__xludf.DUMMYFUNCTION("""COMPUTED_VALUE"""),"Platinum Shield")</f>
        <v>Platinum Shield</v>
      </c>
      <c r="B29" s="31" t="str">
        <f>IFERROR(__xludf.DUMMYFUNCTION("""COMPUTED_VALUE"""),"Defence
Block %
Charm")</f>
        <v>Defence
Block %
Charm</v>
      </c>
      <c r="C29" s="31" t="str">
        <f>IFERROR(__xludf.DUMMYFUNCTION("""COMPUTED_VALUE"""),"25
8
13")</f>
        <v>25
8
13</v>
      </c>
      <c r="D29" s="31" t="str">
        <f>IFERROR(__xludf.DUMMYFUNCTION("""COMPUTED_VALUE"""),"26
8
13")</f>
        <v>26
8
13</v>
      </c>
      <c r="E29" s="31" t="str">
        <f>IFERROR(__xludf.DUMMYFUNCTION("""COMPUTED_VALUE"""),"27
8
14")</f>
        <v>27
8
14</v>
      </c>
      <c r="F29" s="31" t="str">
        <f>IFERROR(__xludf.DUMMYFUNCTION("""COMPUTED_VALUE"""),"28
8
14")</f>
        <v>28
8
14</v>
      </c>
      <c r="G29" s="31" t="str">
        <f>IFERROR(__xludf.DUMMYFUNCTION("""COMPUTED_VALUE"""),"Fire Damage Reduction (5%)")</f>
        <v>Fire Damage Reduction (5%)</v>
      </c>
      <c r="H29" s="41" t="str">
        <f>IFERROR(__xludf.DUMMYFUNCTION("""COMPUTED_VALUE"""),"Recipe: Platinum Protection
Dullahan, Headless Horseman")</f>
        <v>Recipe: Platinum Protection
Dullahan, Headless Horseman</v>
      </c>
      <c r="I29" s="41" t="str">
        <f>IFERROR(__xludf.DUMMYFUNCTION("""COMPUTED_VALUE"""),"Platinum Ore: 2
Permasnow: 2
Green Eye: 1")</f>
        <v>Platinum Ore: 2
Permasnow: 2
Green Eye: 1</v>
      </c>
    </row>
    <row r="30">
      <c r="A30" s="14" t="str">
        <f>IFERROR(__xludf.DUMMYFUNCTION("""COMPUTED_VALUE"""),"Dragon Shield")</f>
        <v>Dragon Shield</v>
      </c>
      <c r="B30" s="30" t="str">
        <f>IFERROR(__xludf.DUMMYFUNCTION("""COMPUTED_VALUE"""),"Defence
Block %")</f>
        <v>Defence
Block %</v>
      </c>
      <c r="C30" s="30" t="str">
        <f>IFERROR(__xludf.DUMMYFUNCTION("""COMPUTED_VALUE"""),"30
8")</f>
        <v>30
8</v>
      </c>
      <c r="D30" s="30" t="str">
        <f>IFERROR(__xludf.DUMMYFUNCTION("""COMPUTED_VALUE"""),"31
8")</f>
        <v>31
8</v>
      </c>
      <c r="E30" s="30" t="str">
        <f>IFERROR(__xludf.DUMMYFUNCTION("""COMPUTED_VALUE"""),"33
8")</f>
        <v>33
8</v>
      </c>
      <c r="F30" s="30" t="str">
        <f>IFERROR(__xludf.DUMMYFUNCTION("""COMPUTED_VALUE"""),"35
10")</f>
        <v>35
10</v>
      </c>
      <c r="G30" s="30" t="str">
        <f>IFERROR(__xludf.DUMMYFUNCTION("""COMPUTED_VALUE"""),"Fire Damage Reduction (10%)
Ice Damage Reduction (10%)")</f>
        <v>Fire Damage Reduction (10%)
Ice Damage Reduction (10%)</v>
      </c>
      <c r="H30" s="42" t="str">
        <f>IFERROR(__xludf.DUMMYFUNCTION("""COMPUTED_VALUE"""),"Puerto Valor, Phnom Nonh: 6900
Recipe: More Dragony Designs")</f>
        <v>Puerto Valor, Phnom Nonh: 6900
Recipe: More Dragony Designs</v>
      </c>
      <c r="I30" s="42" t="str">
        <f>IFERROR(__xludf.DUMMYFUNCTION("""COMPUTED_VALUE"""),"Mythril Ore: 2
Dragon Horn: 1
Yellow Eye: 1")</f>
        <v>Mythril Ore: 2
Dragon Horn: 1
Yellow Eye: 1</v>
      </c>
    </row>
    <row r="31">
      <c r="A31" s="53" t="str">
        <f>IFERROR(__xludf.DUMMYFUNCTION("""COMPUTED_VALUE"""),"Shield of Heliodor")</f>
        <v>Shield of Heliodor</v>
      </c>
      <c r="B31" s="31" t="str">
        <f>IFERROR(__xludf.DUMMYFUNCTION("""COMPUTED_VALUE"""),"Defence
Block %
Charm")</f>
        <v>Defence
Block %
Charm</v>
      </c>
      <c r="C31" s="31" t="str">
        <f>IFERROR(__xludf.DUMMYFUNCTION("""COMPUTED_VALUE"""),"32
8
15")</f>
        <v>32
8
15</v>
      </c>
      <c r="D31" s="31" t="str">
        <f>IFERROR(__xludf.DUMMYFUNCTION("""COMPUTED_VALUE"""),"35
10
20")</f>
        <v>35
10
20</v>
      </c>
      <c r="E31" s="31" t="str">
        <f>IFERROR(__xludf.DUMMYFUNCTION("""COMPUTED_VALUE"""),"38
10
25")</f>
        <v>38
10
25</v>
      </c>
      <c r="F31" s="31" t="str">
        <f>IFERROR(__xludf.DUMMYFUNCTION("""COMPUTED_VALUE"""),"42
10
30")</f>
        <v>42
10
30</v>
      </c>
      <c r="G31" s="31" t="str">
        <f>IFERROR(__xludf.DUMMYFUNCTION("""COMPUTED_VALUE"""),"--")</f>
        <v>--</v>
      </c>
      <c r="H31" s="48" t="str">
        <f>IFERROR(__xludf.DUMMYFUNCTION("""COMPUTED_VALUE"""),"Story")</f>
        <v>Story</v>
      </c>
      <c r="I31" s="41"/>
    </row>
    <row r="32">
      <c r="A32" s="54" t="str">
        <f>IFERROR(__xludf.DUMMYFUNCTION("""COMPUTED_VALUE"""),"Warrior's Shield")</f>
        <v>Warrior's Shield</v>
      </c>
      <c r="B32" s="30" t="str">
        <f>IFERROR(__xludf.DUMMYFUNCTION("""COMPUTED_VALUE"""),"Defence
Block %")</f>
        <v>Defence
Block %</v>
      </c>
      <c r="C32" s="30" t="str">
        <f>IFERROR(__xludf.DUMMYFUNCTION("""COMPUTED_VALUE"""),"37
10")</f>
        <v>37
10</v>
      </c>
      <c r="D32" s="30" t="str">
        <f>IFERROR(__xludf.DUMMYFUNCTION("""COMPUTED_VALUE"""),"38
10")</f>
        <v>38
10</v>
      </c>
      <c r="E32" s="30" t="str">
        <f>IFERROR(__xludf.DUMMYFUNCTION("""COMPUTED_VALUE"""),"40
10")</f>
        <v>40
10</v>
      </c>
      <c r="F32" s="30" t="str">
        <f>IFERROR(__xludf.DUMMYFUNCTION("""COMPUTED_VALUE"""),"42
10")</f>
        <v>42
10</v>
      </c>
      <c r="G32" s="30" t="str">
        <f>IFERROR(__xludf.DUMMYFUNCTION("""COMPUTED_VALUE"""),"Elemental Damage Reduction (5%)")</f>
        <v>Elemental Damage Reduction (5%)</v>
      </c>
      <c r="H32" s="42" t="str">
        <f>IFERROR(__xludf.DUMMYFUNCTION("""COMPUTED_VALUE"""),"Octagonia, Lonalulu, Sniflheim: 10000")</f>
        <v>Octagonia, Lonalulu, Sniflheim: 10000</v>
      </c>
      <c r="I32" s="42"/>
    </row>
    <row r="33">
      <c r="A33" s="53" t="str">
        <f>IFERROR(__xludf.DUMMYFUNCTION("""COMPUTED_VALUE"""),"Dark Shield")</f>
        <v>Dark Shield</v>
      </c>
      <c r="B33" s="31" t="str">
        <f>IFERROR(__xludf.DUMMYFUNCTION("""COMPUTED_VALUE"""),"Defence
Block %")</f>
        <v>Defence
Block %</v>
      </c>
      <c r="C33" s="31" t="str">
        <f>IFERROR(__xludf.DUMMYFUNCTION("""COMPUTED_VALUE"""),"38
10")</f>
        <v>38
10</v>
      </c>
      <c r="D33" s="31" t="str">
        <f>IFERROR(__xludf.DUMMYFUNCTION("""COMPUTED_VALUE"""),"39
10")</f>
        <v>39
10</v>
      </c>
      <c r="E33" s="31" t="str">
        <f>IFERROR(__xludf.DUMMYFUNCTION("""COMPUTED_VALUE"""),"41
10")</f>
        <v>41
10</v>
      </c>
      <c r="F33" s="31" t="str">
        <f>IFERROR(__xludf.DUMMYFUNCTION("""COMPUTED_VALUE"""),"43
10")</f>
        <v>43
10</v>
      </c>
      <c r="G33" s="31" t="str">
        <f>IFERROR(__xludf.DUMMYFUNCTION("""COMPUTED_VALUE"""),"Fire Damage Reduction (5%)
Ice Damage Reduction (5%)")</f>
        <v>Fire Damage Reduction (5%)
Ice Damage Reduction (5%)</v>
      </c>
      <c r="H33" s="41" t="str">
        <f>IFERROR(__xludf.DUMMYFUNCTION("""COMPUTED_VALUE"""),"Gallopolis, Gondolia: 17200
Hyperanemon")</f>
        <v>Gallopolis, Gondolia: 17200
Hyperanemon</v>
      </c>
      <c r="I33" s="41"/>
    </row>
    <row r="34">
      <c r="A34" s="54" t="str">
        <f>IFERROR(__xludf.DUMMYFUNCTION("""COMPUTED_VALUE"""),"Ogre Shield")</f>
        <v>Ogre Shield</v>
      </c>
      <c r="B34" s="30" t="str">
        <f>IFERROR(__xludf.DUMMYFUNCTION("""COMPUTED_VALUE"""),"Defence
Block %")</f>
        <v>Defence
Block %</v>
      </c>
      <c r="C34" s="30" t="str">
        <f>IFERROR(__xludf.DUMMYFUNCTION("""COMPUTED_VALUE"""),"45
11")</f>
        <v>45
11</v>
      </c>
      <c r="D34" s="30" t="str">
        <f>IFERROR(__xludf.DUMMYFUNCTION("""COMPUTED_VALUE"""),"46
11")</f>
        <v>46
11</v>
      </c>
      <c r="E34" s="30" t="str">
        <f>IFERROR(__xludf.DUMMYFUNCTION("""COMPUTED_VALUE"""),"48
11")</f>
        <v>48
11</v>
      </c>
      <c r="F34" s="30" t="str">
        <f>IFERROR(__xludf.DUMMYFUNCTION("""COMPUTED_VALUE"""),"50
11")</f>
        <v>50
11</v>
      </c>
      <c r="G34" s="30" t="str">
        <f>IFERROR(__xludf.DUMMYFUNCTION("""COMPUTED_VALUE"""),"Fire Damage Reduction (7%)
Ice Damage Reduction (7%)")</f>
        <v>Fire Damage Reduction (7%)
Ice Damage Reduction (7%)</v>
      </c>
      <c r="H34" s="42" t="str">
        <f>IFERROR(__xludf.DUMMYFUNCTION("""COMPUTED_VALUE"""),"Recipe: An Encyclopaedia of Expert Equipment
Bilhaw")</f>
        <v>Recipe: An Encyclopaedia of Expert Equipment
Bilhaw</v>
      </c>
      <c r="I34" s="42" t="str">
        <f>IFERROR(__xludf.DUMMYFUNCTION("""COMPUTED_VALUE"""),"Densinium: 3
Magic Beast Hide: 2
Equable Emerald: 1
Purple Eye: 2")</f>
        <v>Densinium: 3
Magic Beast Hide: 2
Equable Emerald: 1
Purple Eye: 2</v>
      </c>
    </row>
    <row r="35">
      <c r="A35" s="53" t="str">
        <f>IFERROR(__xludf.DUMMYFUNCTION("""COMPUTED_VALUE"""),"Saintess Shield")</f>
        <v>Saintess Shield</v>
      </c>
      <c r="B35" s="31" t="str">
        <f>IFERROR(__xludf.DUMMYFUNCTION("""COMPUTED_VALUE"""),"Defence
Block %
Charm")</f>
        <v>Defence
Block %
Charm</v>
      </c>
      <c r="C35" s="31" t="str">
        <f>IFERROR(__xludf.DUMMYFUNCTION("""COMPUTED_VALUE"""),"46
11
19")</f>
        <v>46
11
19</v>
      </c>
      <c r="D35" s="31" t="str">
        <f>IFERROR(__xludf.DUMMYFUNCTION("""COMPUTED_VALUE"""),"47
11
20")</f>
        <v>47
11
20</v>
      </c>
      <c r="E35" s="31" t="str">
        <f>IFERROR(__xludf.DUMMYFUNCTION("""COMPUTED_VALUE"""),"49
11
21")</f>
        <v>49
11
21</v>
      </c>
      <c r="F35" s="31" t="str">
        <f>IFERROR(__xludf.DUMMYFUNCTION("""COMPUTED_VALUE"""),"51
11
22")</f>
        <v>51
11
22</v>
      </c>
      <c r="G35" s="31" t="str">
        <f>IFERROR(__xludf.DUMMYFUNCTION("""COMPUTED_VALUE"""),"Elemental Damage Reduction (7%)")</f>
        <v>Elemental Damage Reduction (7%)</v>
      </c>
      <c r="H35" s="41" t="str">
        <f>IFERROR(__xludf.DUMMYFUNCTION("""COMPUTED_VALUE"""),"Dark Dullahan, Headless Hunter")</f>
        <v>Dark Dullahan, Headless Hunter</v>
      </c>
      <c r="I35" s="41"/>
    </row>
    <row r="36">
      <c r="A36" s="54" t="str">
        <f>IFERROR(__xludf.DUMMYFUNCTION("""COMPUTED_VALUE"""),"Ruinous Shield")</f>
        <v>Ruinous Shield</v>
      </c>
      <c r="B36" s="30" t="str">
        <f>IFERROR(__xludf.DUMMYFUNCTION("""COMPUTED_VALUE"""),"Defence
Block %
Magic Might")</f>
        <v>Defence
Block %
Magic Might</v>
      </c>
      <c r="C36" s="30" t="str">
        <f>IFERROR(__xludf.DUMMYFUNCTION("""COMPUTED_VALUE"""),"52
11
28")</f>
        <v>52
11
28</v>
      </c>
      <c r="D36" s="30" t="str">
        <f>IFERROR(__xludf.DUMMYFUNCTION("""COMPUTED_VALUE"""),"55
11
29")</f>
        <v>55
11
29</v>
      </c>
      <c r="E36" s="30" t="str">
        <f>IFERROR(__xludf.DUMMYFUNCTION("""COMPUTED_VALUE"""),"58
11
30")</f>
        <v>58
11
30</v>
      </c>
      <c r="F36" s="30" t="str">
        <f>IFERROR(__xludf.DUMMYFUNCTION("""COMPUTED_VALUE"""),"62
13
31")</f>
        <v>62
13
31</v>
      </c>
      <c r="G36" s="30" t="str">
        <f>IFERROR(__xludf.DUMMYFUNCTION("""COMPUTED_VALUE"""),"Dark Damage Reduction (20/30/40/50%)")</f>
        <v>Dark Damage Reduction (20/30/40/50%)</v>
      </c>
      <c r="H36" s="42" t="str">
        <f>IFERROR(__xludf.DUMMYFUNCTION("""COMPUTED_VALUE"""),"Rare: Hell's Gatekeeper, Headless Norseman")</f>
        <v>Rare: Hell's Gatekeeper, Headless Norseman</v>
      </c>
      <c r="I36" s="42"/>
    </row>
    <row r="37">
      <c r="A37" s="53" t="str">
        <f>IFERROR(__xludf.DUMMYFUNCTION("""COMPUTED_VALUE"""),"Goddess Shield")</f>
        <v>Goddess Shield</v>
      </c>
      <c r="B37" s="31" t="str">
        <f>IFERROR(__xludf.DUMMYFUNCTION("""COMPUTED_VALUE"""),"Defence
Block %
Magic Mend
Charm")</f>
        <v>Defence
Block %
Magic Mend
Charm</v>
      </c>
      <c r="C37" s="31" t="str">
        <f>IFERROR(__xludf.DUMMYFUNCTION("""COMPUTED_VALUE"""),"64
13
32
26")</f>
        <v>64
13
32
26</v>
      </c>
      <c r="D37" s="31" t="str">
        <f>IFERROR(__xludf.DUMMYFUNCTION("""COMPUTED_VALUE"""),"67
13
33
27")</f>
        <v>67
13
33
27</v>
      </c>
      <c r="E37" s="31" t="str">
        <f>IFERROR(__xludf.DUMMYFUNCTION("""COMPUTED_VALUE"""),"71
13
34
28")</f>
        <v>71
13
34
28</v>
      </c>
      <c r="F37" s="31" t="str">
        <f>IFERROR(__xludf.DUMMYFUNCTION("""COMPUTED_VALUE"""),"75
13
35
29")</f>
        <v>75
13
35
29</v>
      </c>
      <c r="G37" s="31" t="str">
        <f>IFERROR(__xludf.DUMMYFUNCTION("""COMPUTED_VALUE"""),"Elemental Damage Reduction (10%)")</f>
        <v>Elemental Damage Reduction (10%)</v>
      </c>
      <c r="H37" s="41" t="str">
        <f>IFERROR(__xludf.DUMMYFUNCTION("""COMPUTED_VALUE"""),"Trial Isle: 42000")</f>
        <v>Trial Isle: 42000</v>
      </c>
      <c r="I37" s="41"/>
    </row>
    <row r="38">
      <c r="A38" s="54" t="str">
        <f>IFERROR(__xludf.DUMMYFUNCTION("""COMPUTED_VALUE"""),"Drustan's Shield")</f>
        <v>Drustan's Shield</v>
      </c>
      <c r="B38" s="30" t="str">
        <f>IFERROR(__xludf.DUMMYFUNCTION("""COMPUTED_VALUE"""),"Defence
Block %
Charm")</f>
        <v>Defence
Block %
Charm</v>
      </c>
      <c r="C38" s="30" t="str">
        <f>IFERROR(__xludf.DUMMYFUNCTION("""COMPUTED_VALUE"""),"75
13
42")</f>
        <v>75
13
42</v>
      </c>
      <c r="D38" s="30" t="str">
        <f>IFERROR(__xludf.DUMMYFUNCTION("""COMPUTED_VALUE"""),"81
14
44")</f>
        <v>81
14
44</v>
      </c>
      <c r="E38" s="30" t="str">
        <f>IFERROR(__xludf.DUMMYFUNCTION("""COMPUTED_VALUE"""),"87
14
47")</f>
        <v>87
14
47</v>
      </c>
      <c r="F38" s="30" t="str">
        <f>IFERROR(__xludf.DUMMYFUNCTION("""COMPUTED_VALUE"""),"94
14
50")</f>
        <v>94
14
50</v>
      </c>
      <c r="G38" s="30" t="str">
        <f>IFERROR(__xludf.DUMMYFUNCTION("""COMPUTED_VALUE"""),"Elemental Damage Reduction (25%)
HP/Turn (25)")</f>
        <v>Elemental Damage Reduction (25%)
HP/Turn (25)</v>
      </c>
      <c r="H38" s="42" t="str">
        <f>IFERROR(__xludf.DUMMYFUNCTION("""COMPUTED_VALUE"""),"Chest: Sage's Trial - Hoarder's Keep")</f>
        <v>Chest: Sage's Trial - Hoarder's Keep</v>
      </c>
      <c r="I38" s="42"/>
    </row>
    <row r="39">
      <c r="A39" s="52" t="str">
        <f>IFERROR(__xludf.DUMMYFUNCTION("""COMPUTED_VALUE"""),"Hats")</f>
        <v>Hats</v>
      </c>
      <c r="B39" s="24"/>
      <c r="C39" s="24"/>
      <c r="D39" s="24"/>
      <c r="E39" s="24"/>
      <c r="F39" s="24"/>
      <c r="G39" s="24"/>
      <c r="H39" s="24"/>
      <c r="I39" s="25"/>
    </row>
    <row r="40">
      <c r="A40" s="54" t="str">
        <f>IFERROR(__xludf.DUMMYFUNCTION("""COMPUTED_VALUE"""),"Bandana")</f>
        <v>Bandana</v>
      </c>
      <c r="B40" s="30" t="str">
        <f>IFERROR(__xludf.DUMMYFUNCTION("""COMPUTED_VALUE"""),"Defence")</f>
        <v>Defence</v>
      </c>
      <c r="C40" s="30">
        <f>IFERROR(__xludf.DUMMYFUNCTION("""COMPUTED_VALUE"""),1.0)</f>
        <v>1</v>
      </c>
      <c r="D40" s="30">
        <f>IFERROR(__xludf.DUMMYFUNCTION("""COMPUTED_VALUE"""),2.0)</f>
        <v>2</v>
      </c>
      <c r="E40" s="30">
        <f>IFERROR(__xludf.DUMMYFUNCTION("""COMPUTED_VALUE"""),3.0)</f>
        <v>3</v>
      </c>
      <c r="F40" s="30">
        <f>IFERROR(__xludf.DUMMYFUNCTION("""COMPUTED_VALUE"""),4.0)</f>
        <v>4</v>
      </c>
      <c r="G40" s="30" t="str">
        <f>IFERROR(__xludf.DUMMYFUNCTION("""COMPUTED_VALUE"""),"--")</f>
        <v>--</v>
      </c>
      <c r="H40" s="42" t="str">
        <f>IFERROR(__xludf.DUMMYFUNCTION("""COMPUTED_VALUE"""),"Heliodor Region, Heliodor: 45")</f>
        <v>Heliodor Region, Heliodor: 45</v>
      </c>
      <c r="I40" s="42"/>
    </row>
    <row r="41">
      <c r="A41" s="53" t="str">
        <f>IFERROR(__xludf.DUMMYFUNCTION("""COMPUTED_VALUE"""),"Leather Hat")</f>
        <v>Leather Hat</v>
      </c>
      <c r="B41" s="31" t="str">
        <f>IFERROR(__xludf.DUMMYFUNCTION("""COMPUTED_VALUE"""),"Defence")</f>
        <v>Defence</v>
      </c>
      <c r="C41" s="31">
        <f>IFERROR(__xludf.DUMMYFUNCTION("""COMPUTED_VALUE"""),3.0)</f>
        <v>3</v>
      </c>
      <c r="D41" s="31">
        <f>IFERROR(__xludf.DUMMYFUNCTION("""COMPUTED_VALUE"""),4.0)</f>
        <v>4</v>
      </c>
      <c r="E41" s="31">
        <f>IFERROR(__xludf.DUMMYFUNCTION("""COMPUTED_VALUE"""),5.0)</f>
        <v>5</v>
      </c>
      <c r="F41" s="31">
        <f>IFERROR(__xludf.DUMMYFUNCTION("""COMPUTED_VALUE"""),6.0)</f>
        <v>6</v>
      </c>
      <c r="G41" s="31" t="str">
        <f>IFERROR(__xludf.DUMMYFUNCTION("""COMPUTED_VALUE"""),"--")</f>
        <v>--</v>
      </c>
      <c r="H41" s="41" t="str">
        <f>IFERROR(__xludf.DUMMYFUNCTION("""COMPUTED_VALUE"""),"Heliodor, Downtown, Manglegrove: 65
Common Bunicorn, Bodkin Bowyer, Rare: Bodkin Archer")</f>
        <v>Heliodor, Downtown, Manglegrove: 65
Common Bunicorn, Bodkin Bowyer, Rare: Bodkin Archer</v>
      </c>
      <c r="I41" s="41"/>
    </row>
    <row r="42">
      <c r="A42" s="54" t="str">
        <f>IFERROR(__xludf.DUMMYFUNCTION("""COMPUTED_VALUE"""),"Hairband")</f>
        <v>Hairband</v>
      </c>
      <c r="B42" s="30" t="str">
        <f>IFERROR(__xludf.DUMMYFUNCTION("""COMPUTED_VALUE"""),"Defence
Magic Might")</f>
        <v>Defence
Magic Might</v>
      </c>
      <c r="C42" s="30" t="str">
        <f>IFERROR(__xludf.DUMMYFUNCTION("""COMPUTED_VALUE"""),"5
4")</f>
        <v>5
4</v>
      </c>
      <c r="D42" s="30" t="str">
        <f>IFERROR(__xludf.DUMMYFUNCTION("""COMPUTED_VALUE"""),"6
4")</f>
        <v>6
4</v>
      </c>
      <c r="E42" s="30" t="str">
        <f>IFERROR(__xludf.DUMMYFUNCTION("""COMPUTED_VALUE"""),"7
5")</f>
        <v>7
5</v>
      </c>
      <c r="F42" s="30" t="str">
        <f>IFERROR(__xludf.DUMMYFUNCTION("""COMPUTED_VALUE"""),"8
5")</f>
        <v>8
5</v>
      </c>
      <c r="G42" s="30" t="str">
        <f>IFERROR(__xludf.DUMMYFUNCTION("""COMPUTED_VALUE"""),"--")</f>
        <v>--</v>
      </c>
      <c r="H42" s="42" t="str">
        <f>IFERROR(__xludf.DUMMYFUNCTION("""COMPUTED_VALUE"""),"Rare: Iron Maiden")</f>
        <v>Rare: Iron Maiden</v>
      </c>
      <c r="I42" s="42"/>
    </row>
    <row r="43">
      <c r="A43" s="53" t="str">
        <f>IFERROR(__xludf.DUMMYFUNCTION("""COMPUTED_VALUE"""),"Pointy Hat")</f>
        <v>Pointy Hat</v>
      </c>
      <c r="B43" s="31" t="str">
        <f>IFERROR(__xludf.DUMMYFUNCTION("""COMPUTED_VALUE"""),"Defence
Magic Might
Magic Mend")</f>
        <v>Defence
Magic Might
Magic Mend</v>
      </c>
      <c r="C43" s="31" t="str">
        <f>IFERROR(__xludf.DUMMYFUNCTION("""COMPUTED_VALUE"""),"5
4
3")</f>
        <v>5
4
3</v>
      </c>
      <c r="D43" s="31" t="str">
        <f>IFERROR(__xludf.DUMMYFUNCTION("""COMPUTED_VALUE"""),"6
4
3")</f>
        <v>6
4
3</v>
      </c>
      <c r="E43" s="31" t="str">
        <f>IFERROR(__xludf.DUMMYFUNCTION("""COMPUTED_VALUE"""),"7
5
3")</f>
        <v>7
5
3</v>
      </c>
      <c r="F43" s="31" t="str">
        <f>IFERROR(__xludf.DUMMYFUNCTION("""COMPUTED_VALUE"""),"8
5
4")</f>
        <v>8
5
4</v>
      </c>
      <c r="G43" s="31" t="str">
        <f>IFERROR(__xludf.DUMMYFUNCTION("""COMPUTED_VALUE"""),"--")</f>
        <v>--</v>
      </c>
      <c r="H43" s="41" t="str">
        <f>IFERROR(__xludf.DUMMYFUNCTION("""COMPUTED_VALUE"""),"Manglegrove, Emerald Coast, Hotto Steppe, Hotto: 70")</f>
        <v>Manglegrove, Emerald Coast, Hotto Steppe, Hotto: 70</v>
      </c>
      <c r="I43" s="41"/>
    </row>
    <row r="44">
      <c r="A44" s="54" t="str">
        <f>IFERROR(__xludf.DUMMYFUNCTION("""COMPUTED_VALUE"""),"Feathered Cap")</f>
        <v>Feathered Cap</v>
      </c>
      <c r="B44" s="30" t="str">
        <f>IFERROR(__xludf.DUMMYFUNCTION("""COMPUTED_VALUE"""),"Defence
Magic Might
Magic Mend
Charm")</f>
        <v>Defence
Magic Might
Magic Mend
Charm</v>
      </c>
      <c r="C44" s="30" t="str">
        <f>IFERROR(__xludf.DUMMYFUNCTION("""COMPUTED_VALUE"""),"8
5
5
12")</f>
        <v>8
5
5
12</v>
      </c>
      <c r="D44" s="30" t="str">
        <f>IFERROR(__xludf.DUMMYFUNCTION("""COMPUTED_VALUE"""),"9
5
5
13")</f>
        <v>9
5
5
13</v>
      </c>
      <c r="E44" s="30" t="str">
        <f>IFERROR(__xludf.DUMMYFUNCTION("""COMPUTED_VALUE"""),"9
6
6
14")</f>
        <v>9
6
6
14</v>
      </c>
      <c r="F44" s="30" t="str">
        <f>IFERROR(__xludf.DUMMYFUNCTION("""COMPUTED_VALUE"""),"10
6
6
16")</f>
        <v>10
6
6
16</v>
      </c>
      <c r="G44" s="30" t="str">
        <f>IFERROR(__xludf.DUMMYFUNCTION("""COMPUTED_VALUE"""),"--")</f>
        <v>--</v>
      </c>
      <c r="H44" s="42" t="str">
        <f>IFERROR(__xludf.DUMMYFUNCTION("""COMPUTED_VALUE"""),"Hotto Steppe, Hotto, Gallopolis, Laguna di Gondolia: 280
Recipe: Put a Feather in Your Cap")</f>
        <v>Hotto Steppe, Hotto, Gallopolis, Laguna di Gondolia: 280
Recipe: Put a Feather in Your Cap</v>
      </c>
      <c r="I44" s="42" t="str">
        <f>IFERROR(__xludf.DUMMYFUNCTION("""COMPUTED_VALUE"""),"Hardy Hide: 1
Flurry Feather: 1")</f>
        <v>Hardy Hide: 1
Flurry Feather: 1</v>
      </c>
    </row>
    <row r="45">
      <c r="A45" s="53" t="str">
        <f>IFERROR(__xludf.DUMMYFUNCTION("""COMPUTED_VALUE"""),"Turban")</f>
        <v>Turban</v>
      </c>
      <c r="B45" s="31" t="str">
        <f>IFERROR(__xludf.DUMMYFUNCTION("""COMPUTED_VALUE"""),"Defence
Magic Might
Magic Mend")</f>
        <v>Defence
Magic Might
Magic Mend</v>
      </c>
      <c r="C45" s="31" t="str">
        <f>IFERROR(__xludf.DUMMYFUNCTION("""COMPUTED_VALUE"""),"12
4
4")</f>
        <v>12
4
4</v>
      </c>
      <c r="D45" s="31" t="str">
        <f>IFERROR(__xludf.DUMMYFUNCTION("""COMPUTED_VALUE"""),"13
4
4")</f>
        <v>13
4
4</v>
      </c>
      <c r="E45" s="31" t="str">
        <f>IFERROR(__xludf.DUMMYFUNCTION("""COMPUTED_VALUE"""),"14
5
5")</f>
        <v>14
5
5</v>
      </c>
      <c r="F45" s="31" t="str">
        <f>IFERROR(__xludf.DUMMYFUNCTION("""COMPUTED_VALUE"""),"15
5
5")</f>
        <v>15
5
5</v>
      </c>
      <c r="G45" s="31" t="str">
        <f>IFERROR(__xludf.DUMMYFUNCTION("""COMPUTED_VALUE"""),"--")</f>
        <v>--</v>
      </c>
      <c r="H45" s="41" t="str">
        <f>IFERROR(__xludf.DUMMYFUNCTION("""COMPUTED_VALUE"""),"Gallopolis, Laguna di Gondolia, Gondolia: 410")</f>
        <v>Gallopolis, Laguna di Gondolia, Gondolia: 410</v>
      </c>
      <c r="I45" s="41"/>
    </row>
    <row r="46">
      <c r="A46" s="55" t="str">
        <f>IFERROR(__xludf.DUMMYFUNCTION("""COMPUTED_VALUE"""),"Bunny Ears")</f>
        <v>Bunny Ears</v>
      </c>
      <c r="B46" s="30" t="str">
        <f>IFERROR(__xludf.DUMMYFUNCTION("""COMPUTED_VALUE"""),"Defence
Magic Might
Magic Mend
Charm")</f>
        <v>Defence
Magic Might
Magic Mend
Charm</v>
      </c>
      <c r="C46" s="30" t="str">
        <f>IFERROR(__xludf.DUMMYFUNCTION("""COMPUTED_VALUE"""),"14
5
7
17")</f>
        <v>14
5
7
17</v>
      </c>
      <c r="D46" s="30" t="str">
        <f>IFERROR(__xludf.DUMMYFUNCTION("""COMPUTED_VALUE"""),"15
5
7
18")</f>
        <v>15
5
7
18</v>
      </c>
      <c r="E46" s="30" t="str">
        <f>IFERROR(__xludf.DUMMYFUNCTION("""COMPUTED_VALUE"""),"17
6
8
19")</f>
        <v>17
6
8
19</v>
      </c>
      <c r="F46" s="30" t="str">
        <f>IFERROR(__xludf.DUMMYFUNCTION("""COMPUTED_VALUE"""),"19
6
8
21")</f>
        <v>19
6
8
21</v>
      </c>
      <c r="G46" s="30" t="str">
        <f>IFERROR(__xludf.DUMMYFUNCTION("""COMPUTED_VALUE"""),"--")</f>
        <v>--</v>
      </c>
      <c r="H46" s="42" t="str">
        <f>IFERROR(__xludf.DUMMYFUNCTION("""COMPUTED_VALUE"""),"Gallopolis, Lagunda di Gondolia, Gondolia: 550
Recipe: Down the Rabbithole")</f>
        <v>Gallopolis, Lagunda di Gondolia, Gondolia: 550
Recipe: Down the Rabbithole</v>
      </c>
      <c r="I46" s="42" t="str">
        <f>IFERROR(__xludf.DUMMYFUNCTION("""COMPUTED_VALUE"""),"Cottontop: 1
Fine Fur: 1")</f>
        <v>Cottontop: 1
Fine Fur: 1</v>
      </c>
    </row>
    <row r="47">
      <c r="A47" s="53" t="str">
        <f>IFERROR(__xludf.DUMMYFUNCTION("""COMPUTED_VALUE"""),"Tricky Turban")</f>
        <v>Tricky Turban</v>
      </c>
      <c r="B47" s="31" t="str">
        <f>IFERROR(__xludf.DUMMYFUNCTION("""COMPUTED_VALUE"""),"Defence
Magic Might")</f>
        <v>Defence
Magic Might</v>
      </c>
      <c r="C47" s="31" t="str">
        <f>IFERROR(__xludf.DUMMYFUNCTION("""COMPUTED_VALUE"""),"12
8")</f>
        <v>12
8</v>
      </c>
      <c r="D47" s="31" t="str">
        <f>IFERROR(__xludf.DUMMYFUNCTION("""COMPUTED_VALUE"""),"13
9")</f>
        <v>13
9</v>
      </c>
      <c r="E47" s="31" t="str">
        <f>IFERROR(__xludf.DUMMYFUNCTION("""COMPUTED_VALUE"""),"14
9")</f>
        <v>14
9</v>
      </c>
      <c r="F47" s="31" t="str">
        <f>IFERROR(__xludf.DUMMYFUNCTION("""COMPUTED_VALUE"""),"15
10")</f>
        <v>15
10</v>
      </c>
      <c r="G47" s="31" t="str">
        <f>IFERROR(__xludf.DUMMYFUNCTION("""COMPUTED_VALUE"""),"Curse Protection (25%)")</f>
        <v>Curse Protection (25%)</v>
      </c>
      <c r="H47" s="41" t="str">
        <f>IFERROR(__xludf.DUMMYFUNCTION("""COMPUTED_VALUE"""),"Recipe: So You Want to Be a Witch")</f>
        <v>Recipe: So You Want to Be a Witch</v>
      </c>
      <c r="I47" s="41" t="str">
        <f>IFERROR(__xludf.DUMMYFUNCTION("""COMPUTED_VALUE"""),"Cottontop: 2
Duneberry: 1
Narspicious: 1")</f>
        <v>Cottontop: 2
Duneberry: 1
Narspicious: 1</v>
      </c>
    </row>
    <row r="48">
      <c r="A48" s="54" t="str">
        <f>IFERROR(__xludf.DUMMYFUNCTION("""COMPUTED_VALUE"""),"Stone Hardhat")</f>
        <v>Stone Hardhat</v>
      </c>
      <c r="B48" s="30" t="str">
        <f>IFERROR(__xludf.DUMMYFUNCTION("""COMPUTED_VALUE"""),"Defence")</f>
        <v>Defence</v>
      </c>
      <c r="C48" s="30">
        <f>IFERROR(__xludf.DUMMYFUNCTION("""COMPUTED_VALUE"""),15.0)</f>
        <v>15</v>
      </c>
      <c r="D48" s="30">
        <f>IFERROR(__xludf.DUMMYFUNCTION("""COMPUTED_VALUE"""),16.0)</f>
        <v>16</v>
      </c>
      <c r="E48" s="30">
        <f>IFERROR(__xludf.DUMMYFUNCTION("""COMPUTED_VALUE"""),18.0)</f>
        <v>18</v>
      </c>
      <c r="F48" s="30">
        <f>IFERROR(__xludf.DUMMYFUNCTION("""COMPUTED_VALUE"""),20.0)</f>
        <v>20</v>
      </c>
      <c r="G48" s="30" t="str">
        <f>IFERROR(__xludf.DUMMYFUNCTION("""COMPUTED_VALUE"""),"--")</f>
        <v>--</v>
      </c>
      <c r="H48" s="42" t="str">
        <f>IFERROR(__xludf.DUMMYFUNCTION("""COMPUTED_VALUE"""),"Octagonia, Costa Valor: 880")</f>
        <v>Octagonia, Costa Valor: 880</v>
      </c>
      <c r="I48" s="42"/>
    </row>
    <row r="49">
      <c r="A49" s="56" t="str">
        <f>IFERROR(__xludf.DUMMYFUNCTION("""COMPUTED_VALUE"""),"Cat Hat")</f>
        <v>Cat Hat</v>
      </c>
      <c r="B49" s="31" t="str">
        <f>IFERROR(__xludf.DUMMYFUNCTION("""COMPUTED_VALUE"""),"Defence
Charm")</f>
        <v>Defence
Charm</v>
      </c>
      <c r="C49" s="31" t="str">
        <f>IFERROR(__xludf.DUMMYFUNCTION("""COMPUTED_VALUE"""),"16
26")</f>
        <v>16
26</v>
      </c>
      <c r="D49" s="31" t="str">
        <f>IFERROR(__xludf.DUMMYFUNCTION("""COMPUTED_VALUE"""),"17
27")</f>
        <v>17
27</v>
      </c>
      <c r="E49" s="31" t="str">
        <f>IFERROR(__xludf.DUMMYFUNCTION("""COMPUTED_VALUE"""),"18
28")</f>
        <v>18
28</v>
      </c>
      <c r="F49" s="31" t="str">
        <f>IFERROR(__xludf.DUMMYFUNCTION("""COMPUTED_VALUE"""),"20
29")</f>
        <v>20
29</v>
      </c>
      <c r="G49" s="31" t="str">
        <f>IFERROR(__xludf.DUMMYFUNCTION("""COMPUTED_VALUE"""),"Ice Damage Reduction (10%)
Dark Damage Reduction (10%)")</f>
        <v>Ice Damage Reduction (10%)
Dark Damage Reduction (10%)</v>
      </c>
      <c r="H49" s="41" t="str">
        <f>IFERROR(__xludf.DUMMYFUNCTION("""COMPUTED_VALUE"""),"Gondolia: 1250
Rare: Weartiger")</f>
        <v>Gondolia: 1250
Rare: Weartiger</v>
      </c>
      <c r="I49" s="41"/>
    </row>
    <row r="50">
      <c r="A50" s="54" t="str">
        <f>IFERROR(__xludf.DUMMYFUNCTION("""COMPUTED_VALUE"""),"Feather Headband")</f>
        <v>Feather Headband</v>
      </c>
      <c r="B50" s="30" t="str">
        <f>IFERROR(__xludf.DUMMYFUNCTION("""COMPUTED_VALUE"""),"Defence
Magic Might
Magic Mend
Charm")</f>
        <v>Defence
Magic Might
Magic Mend
Charm</v>
      </c>
      <c r="C50" s="30" t="str">
        <f>IFERROR(__xludf.DUMMYFUNCTION("""COMPUTED_VALUE"""),"17
10
10
28")</f>
        <v>17
10
10
28</v>
      </c>
      <c r="D50" s="30" t="str">
        <f>IFERROR(__xludf.DUMMYFUNCTION("""COMPUTED_VALUE"""),"18
11
11
29")</f>
        <v>18
11
11
29</v>
      </c>
      <c r="E50" s="30" t="str">
        <f>IFERROR(__xludf.DUMMYFUNCTION("""COMPUTED_VALUE"""),"19
12
12
30")</f>
        <v>19
12
12
30</v>
      </c>
      <c r="F50" s="30" t="str">
        <f>IFERROR(__xludf.DUMMYFUNCTION("""COMPUTED_VALUE"""),"20
13
13
31")</f>
        <v>20
13
13
31</v>
      </c>
      <c r="G50" s="30" t="str">
        <f>IFERROR(__xludf.DUMMYFUNCTION("""COMPUTED_VALUE"""),"--")</f>
        <v>--</v>
      </c>
      <c r="H50" s="42" t="str">
        <f>IFERROR(__xludf.DUMMYFUNCTION("""COMPUTED_VALUE"""),"Octagonia, Costa Valor, Puerto Valor, Lonalulu: 1450")</f>
        <v>Octagonia, Costa Valor, Puerto Valor, Lonalulu: 1450</v>
      </c>
      <c r="I50" s="42"/>
    </row>
    <row r="51">
      <c r="A51" s="53" t="str">
        <f>IFERROR(__xludf.DUMMYFUNCTION("""COMPUTED_VALUE"""),"Fur Hood")</f>
        <v>Fur Hood</v>
      </c>
      <c r="B51" s="31" t="str">
        <f>IFERROR(__xludf.DUMMYFUNCTION("""COMPUTED_VALUE"""),"Defence")</f>
        <v>Defence</v>
      </c>
      <c r="C51" s="31">
        <f>IFERROR(__xludf.DUMMYFUNCTION("""COMPUTED_VALUE"""),18.0)</f>
        <v>18</v>
      </c>
      <c r="D51" s="31">
        <f>IFERROR(__xludf.DUMMYFUNCTION("""COMPUTED_VALUE"""),19.0)</f>
        <v>19</v>
      </c>
      <c r="E51" s="31">
        <f>IFERROR(__xludf.DUMMYFUNCTION("""COMPUTED_VALUE"""),20.0)</f>
        <v>20</v>
      </c>
      <c r="F51" s="31">
        <f>IFERROR(__xludf.DUMMYFUNCTION("""COMPUTED_VALUE"""),21.0)</f>
        <v>21</v>
      </c>
      <c r="G51" s="31" t="str">
        <f>IFERROR(__xludf.DUMMYFUNCTION("""COMPUTED_VALUE"""),"Ice Damage Reduction (10%)")</f>
        <v>Ice Damage Reduction (10%)</v>
      </c>
      <c r="H51" s="41" t="str">
        <f>IFERROR(__xludf.DUMMYFUNCTION("""COMPUTED_VALUE"""),"Sniflheim: 1400
Recipe: Furry Finery
Rare: Splatypunk")</f>
        <v>Sniflheim: 1400
Recipe: Furry Finery
Rare: Splatypunk</v>
      </c>
      <c r="I51" s="41" t="str">
        <f>IFERROR(__xludf.DUMMYFUNCTION("""COMPUTED_VALUE"""),"Magic Beast Hide: 1
Fine Fur: 1")</f>
        <v>Magic Beast Hide: 1
Fine Fur: 1</v>
      </c>
    </row>
    <row r="52">
      <c r="A52" s="54" t="str">
        <f>IFERROR(__xludf.DUMMYFUNCTION("""COMPUTED_VALUE"""),"Bronze Helmet")</f>
        <v>Bronze Helmet</v>
      </c>
      <c r="B52" s="30" t="str">
        <f>IFERROR(__xludf.DUMMYFUNCTION("""COMPUTED_VALUE"""),"Defence")</f>
        <v>Defence</v>
      </c>
      <c r="C52" s="30">
        <f>IFERROR(__xludf.DUMMYFUNCTION("""COMPUTED_VALUE"""),18.0)</f>
        <v>18</v>
      </c>
      <c r="D52" s="30">
        <f>IFERROR(__xludf.DUMMYFUNCTION("""COMPUTED_VALUE"""),19.0)</f>
        <v>19</v>
      </c>
      <c r="E52" s="30">
        <f>IFERROR(__xludf.DUMMYFUNCTION("""COMPUTED_VALUE"""),20.0)</f>
        <v>20</v>
      </c>
      <c r="F52" s="30">
        <f>IFERROR(__xludf.DUMMYFUNCTION("""COMPUTED_VALUE"""),21.0)</f>
        <v>21</v>
      </c>
      <c r="G52" s="30" t="str">
        <f>IFERROR(__xludf.DUMMYFUNCTION("""COMPUTED_VALUE"""),"--")</f>
        <v>--</v>
      </c>
      <c r="H52" s="42" t="str">
        <f>IFERROR(__xludf.DUMMYFUNCTION("""COMPUTED_VALUE"""),"Puerto Valor, Lonalulu, Phnom Nonh: 1500")</f>
        <v>Puerto Valor, Lonalulu, Phnom Nonh: 1500</v>
      </c>
      <c r="I52" s="42"/>
    </row>
    <row r="53">
      <c r="A53" s="56" t="str">
        <f>IFERROR(__xludf.DUMMYFUNCTION("""COMPUTED_VALUE"""),"Cute Cap")</f>
        <v>Cute Cap</v>
      </c>
      <c r="B53" s="31" t="str">
        <f>IFERROR(__xludf.DUMMYFUNCTION("""COMPUTED_VALUE"""),"Defence
Magic Might
Charm")</f>
        <v>Defence
Magic Might
Charm</v>
      </c>
      <c r="C53" s="31" t="str">
        <f>IFERROR(__xludf.DUMMYFUNCTION("""COMPUTED_VALUE"""),"18
13
30")</f>
        <v>18
13
30</v>
      </c>
      <c r="D53" s="31" t="str">
        <f>IFERROR(__xludf.DUMMYFUNCTION("""COMPUTED_VALUE"""),"19
14
32")</f>
        <v>19
14
32</v>
      </c>
      <c r="E53" s="31" t="str">
        <f>IFERROR(__xludf.DUMMYFUNCTION("""COMPUTED_VALUE"""),"21
15
35")</f>
        <v>21
15
35</v>
      </c>
      <c r="F53" s="31" t="str">
        <f>IFERROR(__xludf.DUMMYFUNCTION("""COMPUTED_VALUE"""),"23
16
38")</f>
        <v>23
16
38</v>
      </c>
      <c r="G53" s="31" t="str">
        <f>IFERROR(__xludf.DUMMYFUNCTION("""COMPUTED_VALUE"""),"--")</f>
        <v>--</v>
      </c>
      <c r="H53" s="41" t="str">
        <f>IFERROR(__xludf.DUMMYFUNCTION("""COMPUTED_VALUE"""),"Recipe: All Things Nice")</f>
        <v>Recipe: All Things Nice</v>
      </c>
      <c r="I53" s="41" t="str">
        <f>IFERROR(__xludf.DUMMYFUNCTION("""COMPUTED_VALUE"""),"Faerie Fluff: 2
Cottontop: 1")</f>
        <v>Faerie Fluff: 2
Cottontop: 1</v>
      </c>
    </row>
    <row r="54">
      <c r="A54" s="55" t="str">
        <f>IFERROR(__xludf.DUMMYFUNCTION("""COMPUTED_VALUE"""),"Bonny Band")</f>
        <v>Bonny Band</v>
      </c>
      <c r="B54" s="30" t="str">
        <f>IFERROR(__xludf.DUMMYFUNCTION("""COMPUTED_VALUE"""),"Defence
Magic Mend
Charm")</f>
        <v>Defence
Magic Mend
Charm</v>
      </c>
      <c r="C54" s="30" t="str">
        <f>IFERROR(__xludf.DUMMYFUNCTION("""COMPUTED_VALUE"""),"18
12
30")</f>
        <v>18
12
30</v>
      </c>
      <c r="D54" s="30" t="str">
        <f>IFERROR(__xludf.DUMMYFUNCTION("""COMPUTED_VALUE"""),"19
13
32")</f>
        <v>19
13
32</v>
      </c>
      <c r="E54" s="30" t="str">
        <f>IFERROR(__xludf.DUMMYFUNCTION("""COMPUTED_VALUE"""),"21
14
35")</f>
        <v>21
14
35</v>
      </c>
      <c r="F54" s="30" t="str">
        <f>IFERROR(__xludf.DUMMYFUNCTION("""COMPUTED_VALUE"""),"23
15
38")</f>
        <v>23
15
38</v>
      </c>
      <c r="G54" s="30" t="str">
        <f>IFERROR(__xludf.DUMMYFUNCTION("""COMPUTED_VALUE"""),"--")</f>
        <v>--</v>
      </c>
      <c r="H54" s="42" t="str">
        <f>IFERROR(__xludf.DUMMYFUNCTION("""COMPUTED_VALUE"""),"Recipe: All Things Nice")</f>
        <v>Recipe: All Things Nice</v>
      </c>
      <c r="I54" s="42" t="str">
        <f>IFERROR(__xludf.DUMMYFUNCTION("""COMPUTED_VALUE"""),"Faerie Fluff: 2
Buzzberries: 1")</f>
        <v>Faerie Fluff: 2
Buzzberries: 1</v>
      </c>
    </row>
    <row r="55">
      <c r="A55" s="53" t="str">
        <f>IFERROR(__xludf.DUMMYFUNCTION("""COMPUTED_VALUE"""),"Hocus Hat")</f>
        <v>Hocus Hat</v>
      </c>
      <c r="B55" s="31" t="str">
        <f>IFERROR(__xludf.DUMMYFUNCTION("""COMPUTED_VALUE"""),"Defence
Magic Might")</f>
        <v>Defence
Magic Might</v>
      </c>
      <c r="C55" s="31" t="str">
        <f>IFERROR(__xludf.DUMMYFUNCTION("""COMPUTED_VALUE"""),"24
13")</f>
        <v>24
13</v>
      </c>
      <c r="D55" s="31" t="str">
        <f>IFERROR(__xludf.DUMMYFUNCTION("""COMPUTED_VALUE"""),"25
13")</f>
        <v>25
13</v>
      </c>
      <c r="E55" s="31" t="str">
        <f>IFERROR(__xludf.DUMMYFUNCTION("""COMPUTED_VALUE"""),"26
14")</f>
        <v>26
14</v>
      </c>
      <c r="F55" s="31" t="str">
        <f>IFERROR(__xludf.DUMMYFUNCTION("""COMPUTED_VALUE"""),"27
14")</f>
        <v>27
14</v>
      </c>
      <c r="G55" s="31" t="str">
        <f>IFERROR(__xludf.DUMMYFUNCTION("""COMPUTED_VALUE"""),"Spell-Sealing Protection (25%)")</f>
        <v>Spell-Sealing Protection (25%)</v>
      </c>
      <c r="H55" s="41" t="str">
        <f>IFERROR(__xludf.DUMMYFUNCTION("""COMPUTED_VALUE"""),"Sniflheim: 2800
Recipe: Making the Magic Happen")</f>
        <v>Sniflheim: 2800
Recipe: Making the Magic Happen</v>
      </c>
      <c r="I55" s="41" t="str">
        <f>IFERROR(__xludf.DUMMYFUNCTION("""COMPUTED_VALUE"""),"Faerie Fluff: 2
Toad Oil: 2
Snakeskin: 1")</f>
        <v>Faerie Fluff: 2
Toad Oil: 2
Snakeskin: 1</v>
      </c>
    </row>
    <row r="56">
      <c r="A56" s="54" t="str">
        <f>IFERROR(__xludf.DUMMYFUNCTION("""COMPUTED_VALUE"""),"Malleable Mask")</f>
        <v>Malleable Mask</v>
      </c>
      <c r="B56" s="30" t="str">
        <f>IFERROR(__xludf.DUMMYFUNCTION("""COMPUTED_VALUE"""),"Defence
Magic Might
Magic Mend")</f>
        <v>Defence
Magic Might
Magic Mend</v>
      </c>
      <c r="C56" s="30" t="str">
        <f>IFERROR(__xludf.DUMMYFUNCTION("""COMPUTED_VALUE"""),"19
13
10")</f>
        <v>19
13
10</v>
      </c>
      <c r="D56" s="30" t="str">
        <f>IFERROR(__xludf.DUMMYFUNCTION("""COMPUTED_VALUE"""),"20
14
10")</f>
        <v>20
14
10</v>
      </c>
      <c r="E56" s="30" t="str">
        <f>IFERROR(__xludf.DUMMYFUNCTION("""COMPUTED_VALUE"""),"21
14
11")</f>
        <v>21
14
11</v>
      </c>
      <c r="F56" s="30" t="str">
        <f>IFERROR(__xludf.DUMMYFUNCTION("""COMPUTED_VALUE"""),"22
15
11")</f>
        <v>22
15
11</v>
      </c>
      <c r="G56" s="30" t="str">
        <f>IFERROR(__xludf.DUMMYFUNCTION("""COMPUTED_VALUE"""),"Paralysis Protection (20%)")</f>
        <v>Paralysis Protection (20%)</v>
      </c>
      <c r="H56" s="42" t="str">
        <f>IFERROR(__xludf.DUMMYFUNCTION("""COMPUTED_VALUE"""),"Octagonia: 2000
Recipe: Building Butterfly Bric-a-Brac
Rare: Rottontail")</f>
        <v>Octagonia: 2000
Recipe: Building Butterfly Bric-a-Brac
Rare: Rottontail</v>
      </c>
      <c r="I56" s="42" t="str">
        <f>IFERROR(__xludf.DUMMYFUNCTION("""COMPUTED_VALUE"""),"Silver Ore: 2
Butterfly Wing: 2
Narspicious: 1")</f>
        <v>Silver Ore: 2
Butterfly Wing: 2
Narspicious: 1</v>
      </c>
    </row>
    <row r="57">
      <c r="A57" s="53" t="str">
        <f>IFERROR(__xludf.DUMMYFUNCTION("""COMPUTED_VALUE"""),"Coral Hairpin")</f>
        <v>Coral Hairpin</v>
      </c>
      <c r="B57" s="31" t="str">
        <f>IFERROR(__xludf.DUMMYFUNCTION("""COMPUTED_VALUE"""),"Defence
Magic Might
Magic Mend
Charm")</f>
        <v>Defence
Magic Might
Magic Mend
Charm</v>
      </c>
      <c r="C57" s="31" t="str">
        <f>IFERROR(__xludf.DUMMYFUNCTION("""COMPUTED_VALUE"""),"20
12
12
33")</f>
        <v>20
12
12
33</v>
      </c>
      <c r="D57" s="31" t="str">
        <f>IFERROR(__xludf.DUMMYFUNCTION("""COMPUTED_VALUE"""),"21
13
13
34")</f>
        <v>21
13
13
34</v>
      </c>
      <c r="E57" s="31" t="str">
        <f>IFERROR(__xludf.DUMMYFUNCTION("""COMPUTED_VALUE"""),"22
14
14
35")</f>
        <v>22
14
14
35</v>
      </c>
      <c r="F57" s="31" t="str">
        <f>IFERROR(__xludf.DUMMYFUNCTION("""COMPUTED_VALUE"""),"23
15
15
36")</f>
        <v>23
15
15
36</v>
      </c>
      <c r="G57" s="31" t="str">
        <f>IFERROR(__xludf.DUMMYFUNCTION("""COMPUTED_VALUE"""),"--")</f>
        <v>--</v>
      </c>
      <c r="H57" s="41" t="str">
        <f>IFERROR(__xludf.DUMMYFUNCTION("""COMPUTED_VALUE"""),"Nautica: 950
Recipe: Your Crafting Career Starts Here
Rare: Coralossus")</f>
        <v>Nautica: 950
Recipe: Your Crafting Career Starts Here
Rare: Coralossus</v>
      </c>
      <c r="I57" s="41" t="str">
        <f>IFERROR(__xludf.DUMMYFUNCTION("""COMPUTED_VALUE"""),"Crimson Coral: 1
Maiden's Favour: 1")</f>
        <v>Crimson Coral: 1
Maiden's Favour: 1</v>
      </c>
    </row>
    <row r="58">
      <c r="A58" s="54" t="str">
        <f>IFERROR(__xludf.DUMMYFUNCTION("""COMPUTED_VALUE"""),"Hermes' Hat")</f>
        <v>Hermes' Hat</v>
      </c>
      <c r="B58" s="30" t="str">
        <f>IFERROR(__xludf.DUMMYFUNCTION("""COMPUTED_VALUE"""),"Defence
Agility
Charm")</f>
        <v>Defence
Agility
Charm</v>
      </c>
      <c r="C58" s="30" t="str">
        <f>IFERROR(__xludf.DUMMYFUNCTION("""COMPUTED_VALUE"""),"20
12
33")</f>
        <v>20
12
33</v>
      </c>
      <c r="D58" s="30" t="str">
        <f>IFERROR(__xludf.DUMMYFUNCTION("""COMPUTED_VALUE"""),"21
13
35")</f>
        <v>21
13
35</v>
      </c>
      <c r="E58" s="30" t="str">
        <f>IFERROR(__xludf.DUMMYFUNCTION("""COMPUTED_VALUE"""),"22
14
37")</f>
        <v>22
14
37</v>
      </c>
      <c r="F58" s="30" t="str">
        <f>IFERROR(__xludf.DUMMYFUNCTION("""COMPUTED_VALUE"""),"24
15
40")</f>
        <v>24
15
40</v>
      </c>
      <c r="G58" s="30" t="str">
        <f>IFERROR(__xludf.DUMMYFUNCTION("""COMPUTED_VALUE"""),"Wind Damage Reduction (20%)")</f>
        <v>Wind Damage Reduction (20%)</v>
      </c>
      <c r="H58" s="42" t="str">
        <f>IFERROR(__xludf.DUMMYFUNCTION("""COMPUTED_VALUE"""),"Mini Medal Stamp: 10
Common: Whirly Girly")</f>
        <v>Mini Medal Stamp: 10
Common: Whirly Girly</v>
      </c>
      <c r="I58" s="42"/>
    </row>
    <row r="59">
      <c r="A59" s="53" t="str">
        <f>IFERROR(__xludf.DUMMYFUNCTION("""COMPUTED_VALUE"""),"Thief's Turban")</f>
        <v>Thief's Turban</v>
      </c>
      <c r="B59" s="31" t="str">
        <f>IFERROR(__xludf.DUMMYFUNCTION("""COMPUTED_VALUE"""),"Defence")</f>
        <v>Defence</v>
      </c>
      <c r="C59" s="31">
        <f>IFERROR(__xludf.DUMMYFUNCTION("""COMPUTED_VALUE"""),22.0)</f>
        <v>22</v>
      </c>
      <c r="D59" s="31">
        <f>IFERROR(__xludf.DUMMYFUNCTION("""COMPUTED_VALUE"""),23.0)</f>
        <v>23</v>
      </c>
      <c r="E59" s="31">
        <f>IFERROR(__xludf.DUMMYFUNCTION("""COMPUTED_VALUE"""),24.0)</f>
        <v>24</v>
      </c>
      <c r="F59" s="31">
        <f>IFERROR(__xludf.DUMMYFUNCTION("""COMPUTED_VALUE"""),26.0)</f>
        <v>26</v>
      </c>
      <c r="G59" s="31" t="str">
        <f>IFERROR(__xludf.DUMMYFUNCTION("""COMPUTED_VALUE"""),"Poison Protection (15%)
Dark Damage Reduction (10%)")</f>
        <v>Poison Protection (15%)
Dark Damage Reduction (10%)</v>
      </c>
      <c r="H59" s="41" t="str">
        <f>IFERROR(__xludf.DUMMYFUNCTION("""COMPUTED_VALUE"""),"Lonalulu, Phnom Nonh: 3000
Recipe: Knick-Knacks for Nifty Nickers
Rare: Shadow")</f>
        <v>Lonalulu, Phnom Nonh: 3000
Recipe: Knick-Knacks for Nifty Nickers
Rare: Shadow</v>
      </c>
      <c r="I59" s="41" t="str">
        <f>IFERROR(__xludf.DUMMYFUNCTION("""COMPUTED_VALUE"""),"Evencloth: 1
Narspicious: 1
Pitch Pearl: 1")</f>
        <v>Evencloth: 1
Narspicious: 1
Pitch Pearl: 1</v>
      </c>
    </row>
    <row r="60">
      <c r="A60" s="54" t="str">
        <f>IFERROR(__xludf.DUMMYFUNCTION("""COMPUTED_VALUE"""),"Witch's Hat")</f>
        <v>Witch's Hat</v>
      </c>
      <c r="B60" s="30" t="str">
        <f>IFERROR(__xludf.DUMMYFUNCTION("""COMPUTED_VALUE"""),"Defence
Magic Might")</f>
        <v>Defence
Magic Might</v>
      </c>
      <c r="C60" s="30" t="str">
        <f>IFERROR(__xludf.DUMMYFUNCTION("""COMPUTED_VALUE"""),"24
15")</f>
        <v>24
15</v>
      </c>
      <c r="D60" s="30" t="str">
        <f>IFERROR(__xludf.DUMMYFUNCTION("""COMPUTED_VALUE"""),"25
16")</f>
        <v>25
16</v>
      </c>
      <c r="E60" s="30" t="str">
        <f>IFERROR(__xludf.DUMMYFUNCTION("""COMPUTED_VALUE"""),"26
18")</f>
        <v>26
18</v>
      </c>
      <c r="F60" s="30" t="str">
        <f>IFERROR(__xludf.DUMMYFUNCTION("""COMPUTED_VALUE"""),"28
20")</f>
        <v>28
20</v>
      </c>
      <c r="G60" s="30" t="str">
        <f>IFERROR(__xludf.DUMMYFUNCTION("""COMPUTED_VALUE"""),"Spell-Sealing Protection (25%)")</f>
        <v>Spell-Sealing Protection (25%)</v>
      </c>
      <c r="H60" s="42" t="str">
        <f>IFERROR(__xludf.DUMMYFUNCTION("""COMPUTED_VALUE"""),"Recipe: Favourite Fashions of the Masters of Magic")</f>
        <v>Recipe: Favourite Fashions of the Masters of Magic</v>
      </c>
      <c r="I60" s="42" t="str">
        <f>IFERROR(__xludf.DUMMYFUNCTION("""COMPUTED_VALUE"""),"Evencloth: 1
Wing of Bat: 1
Celestial Skein: 1")</f>
        <v>Evencloth: 1
Wing of Bat: 1
Celestial Skein: 1</v>
      </c>
    </row>
    <row r="61">
      <c r="A61" s="56" t="str">
        <f>IFERROR(__xludf.DUMMYFUNCTION("""COMPUTED_VALUE"""),"Swindler's Scarf")</f>
        <v>Swindler's Scarf</v>
      </c>
      <c r="B61" s="31" t="str">
        <f>IFERROR(__xludf.DUMMYFUNCTION("""COMPUTED_VALUE"""),"Defence
Evasion %
Deftness
Charm")</f>
        <v>Defence
Evasion %
Deftness
Charm</v>
      </c>
      <c r="C61" s="31" t="str">
        <f>IFERROR(__xludf.DUMMYFUNCTION("""COMPUTED_VALUE"""),"22
2
14
26")</f>
        <v>22
2
14
26</v>
      </c>
      <c r="D61" s="31" t="str">
        <f>IFERROR(__xludf.DUMMYFUNCTION("""COMPUTED_VALUE"""),"23
2
15
28")</f>
        <v>23
2
15
28</v>
      </c>
      <c r="E61" s="31" t="str">
        <f>IFERROR(__xludf.DUMMYFUNCTION("""COMPUTED_VALUE"""),"24
2
16
30")</f>
        <v>24
2
16
30</v>
      </c>
      <c r="F61" s="31" t="str">
        <f>IFERROR(__xludf.DUMMYFUNCTION("""COMPUTED_VALUE"""),"26
2
18
32")</f>
        <v>26
2
18
32</v>
      </c>
      <c r="G61" s="31" t="str">
        <f>IFERROR(__xludf.DUMMYFUNCTION("""COMPUTED_VALUE"""),"Chance of Successfully Stealing (3%)")</f>
        <v>Chance of Successfully Stealing (3%)</v>
      </c>
      <c r="H61" s="41" t="str">
        <f>IFERROR(__xludf.DUMMYFUNCTION("""COMPUTED_VALUE"""),"Recipe: Sweet Stuff for Swindlers")</f>
        <v>Recipe: Sweet Stuff for Swindlers</v>
      </c>
      <c r="I61" s="41" t="str">
        <f>IFERROR(__xludf.DUMMYFUNCTION("""COMPUTED_VALUE"""),"Faerie Fluff: 2
Cottontop: 1
Maiden's Favour: 1")</f>
        <v>Faerie Fluff: 2
Cottontop: 1
Maiden's Favour: 1</v>
      </c>
    </row>
    <row r="62">
      <c r="A62" s="54" t="str">
        <f>IFERROR(__xludf.DUMMYFUNCTION("""COMPUTED_VALUE"""),"Mercury's Bandana")</f>
        <v>Mercury's Bandana</v>
      </c>
      <c r="B62" s="30" t="str">
        <f>IFERROR(__xludf.DUMMYFUNCTION("""COMPUTED_VALUE"""),"Defence
Agility")</f>
        <v>Defence
Agility</v>
      </c>
      <c r="C62" s="30" t="str">
        <f>IFERROR(__xludf.DUMMYFUNCTION("""COMPUTED_VALUE"""),"23
14")</f>
        <v>23
14</v>
      </c>
      <c r="D62" s="30" t="str">
        <f>IFERROR(__xludf.DUMMYFUNCTION("""COMPUTED_VALUE"""),"24
15")</f>
        <v>24
15</v>
      </c>
      <c r="E62" s="30" t="str">
        <f>IFERROR(__xludf.DUMMYFUNCTION("""COMPUTED_VALUE"""),"25
16")</f>
        <v>25
16</v>
      </c>
      <c r="F62" s="30" t="str">
        <f>IFERROR(__xludf.DUMMYFUNCTION("""COMPUTED_VALUE"""),"27
17")</f>
        <v>27
17</v>
      </c>
      <c r="G62" s="30" t="str">
        <f>IFERROR(__xludf.DUMMYFUNCTION("""COMPUTED_VALUE"""),"--")</f>
        <v>--</v>
      </c>
      <c r="H62" s="42" t="str">
        <f>IFERROR(__xludf.DUMMYFUNCTION("""COMPUTED_VALUE"""),"Puerto Valor Casino: 2500
Rare: Spinchilla, Hellrider")</f>
        <v>Puerto Valor Casino: 2500
Rare: Spinchilla, Hellrider</v>
      </c>
      <c r="I62" s="42"/>
    </row>
    <row r="63">
      <c r="A63" s="53" t="str">
        <f>IFERROR(__xludf.DUMMYFUNCTION("""COMPUTED_VALUE"""),"Silver Tiara")</f>
        <v>Silver Tiara</v>
      </c>
      <c r="B63" s="31" t="str">
        <f>IFERROR(__xludf.DUMMYFUNCTION("""COMPUTED_VALUE"""),"Defence
Charm")</f>
        <v>Defence
Charm</v>
      </c>
      <c r="C63" s="31" t="str">
        <f>IFERROR(__xludf.DUMMYFUNCTION("""COMPUTED_VALUE"""),"24
40")</f>
        <v>24
40</v>
      </c>
      <c r="D63" s="31" t="str">
        <f>IFERROR(__xludf.DUMMYFUNCTION("""COMPUTED_VALUE"""),"26
41")</f>
        <v>26
41</v>
      </c>
      <c r="E63" s="31" t="str">
        <f>IFERROR(__xludf.DUMMYFUNCTION("""COMPUTED_VALUE"""),"28
42")</f>
        <v>28
42</v>
      </c>
      <c r="F63" s="31" t="str">
        <f>IFERROR(__xludf.DUMMYFUNCTION("""COMPUTED_VALUE"""),"30
45")</f>
        <v>30
45</v>
      </c>
      <c r="G63" s="31" t="str">
        <f>IFERROR(__xludf.DUMMYFUNCTION("""COMPUTED_VALUE"""),"--")</f>
        <v>--</v>
      </c>
      <c r="H63" s="41" t="str">
        <f>IFERROR(__xludf.DUMMYFUNCTION("""COMPUTED_VALUE"""),"L'Academie, Phnom Nonh, Sniflheim: 1450
Recipe: Secrets of the Silversmiths")</f>
        <v>L'Academie, Phnom Nonh, Sniflheim: 1450
Recipe: Secrets of the Silversmiths</v>
      </c>
      <c r="I63" s="41" t="str">
        <f>IFERROR(__xludf.DUMMYFUNCTION("""COMPUTED_VALUE"""),"Silver Ore: 2
Sparkly Sap: 1")</f>
        <v>Silver Ore: 2
Sparkly Sap: 1</v>
      </c>
    </row>
    <row r="64">
      <c r="A64" s="54" t="str">
        <f>IFERROR(__xludf.DUMMYFUNCTION("""COMPUTED_VALUE"""),"Magical Hat")</f>
        <v>Magical Hat</v>
      </c>
      <c r="B64" s="30" t="str">
        <f>IFERROR(__xludf.DUMMYFUNCTION("""COMPUTED_VALUE"""),"Defence
Magic Might")</f>
        <v>Defence
Magic Might</v>
      </c>
      <c r="C64" s="30" t="str">
        <f>IFERROR(__xludf.DUMMYFUNCTION("""COMPUTED_VALUE"""),"25
30")</f>
        <v>25
30</v>
      </c>
      <c r="D64" s="30" t="str">
        <f>IFERROR(__xludf.DUMMYFUNCTION("""COMPUTED_VALUE"""),"26
32")</f>
        <v>26
32</v>
      </c>
      <c r="E64" s="30" t="str">
        <f>IFERROR(__xludf.DUMMYFUNCTION("""COMPUTED_VALUE"""),"27
34")</f>
        <v>27
34</v>
      </c>
      <c r="F64" s="30" t="str">
        <f>IFERROR(__xludf.DUMMYFUNCTION("""COMPUTED_VALUE"""),"29
36")</f>
        <v>29
36</v>
      </c>
      <c r="G64" s="30" t="str">
        <f>IFERROR(__xludf.DUMMYFUNCTION("""COMPUTED_VALUE"""),"--")</f>
        <v>--</v>
      </c>
      <c r="H64" s="42" t="str">
        <f>IFERROR(__xludf.DUMMYFUNCTION("""COMPUTED_VALUE"""),"Champs Sauvage, L'Academie, Sniflhiem, Angri-La: 2700
Rare: Hat Hamwitch")</f>
        <v>Champs Sauvage, L'Academie, Sniflhiem, Angri-La: 2700
Rare: Hat Hamwitch</v>
      </c>
      <c r="I64" s="42"/>
    </row>
    <row r="65">
      <c r="A65" s="53" t="str">
        <f>IFERROR(__xludf.DUMMYFUNCTION("""COMPUTED_VALUE"""),"Pirate's Hat")</f>
        <v>Pirate's Hat</v>
      </c>
      <c r="B65" s="31" t="str">
        <f>IFERROR(__xludf.DUMMYFUNCTION("""COMPUTED_VALUE"""),"Defence
Agility")</f>
        <v>Defence
Agility</v>
      </c>
      <c r="C65" s="31" t="str">
        <f>IFERROR(__xludf.DUMMYFUNCTION("""COMPUTED_VALUE"""),"30
20")</f>
        <v>30
20</v>
      </c>
      <c r="D65" s="31" t="str">
        <f>IFERROR(__xludf.DUMMYFUNCTION("""COMPUTED_VALUE"""),"31
21")</f>
        <v>31
21</v>
      </c>
      <c r="E65" s="31" t="str">
        <f>IFERROR(__xludf.DUMMYFUNCTION("""COMPUTED_VALUE"""),"32
22")</f>
        <v>32
22</v>
      </c>
      <c r="F65" s="31" t="str">
        <f>IFERROR(__xludf.DUMMYFUNCTION("""COMPUTED_VALUE"""),"34
24")</f>
        <v>34
24</v>
      </c>
      <c r="G65" s="31" t="str">
        <f>IFERROR(__xludf.DUMMYFUNCTION("""COMPUTED_VALUE"""),"Paralysis Protection (30%)")</f>
        <v>Paralysis Protection (30%)</v>
      </c>
      <c r="H65" s="41" t="str">
        <f>IFERROR(__xludf.DUMMYFUNCTION("""COMPUTED_VALUE"""),"Quest: The Viking Hoard
Common: Heavy Hood, Rare: Gyldenaut")</f>
        <v>Quest: The Viking Hoard
Common: Heavy Hood, Rare: Gyldenaut</v>
      </c>
      <c r="I65" s="41"/>
    </row>
    <row r="66">
      <c r="A66" s="54" t="str">
        <f>IFERROR(__xludf.DUMMYFUNCTION("""COMPUTED_VALUE"""),"Disturbin' Turban")</f>
        <v>Disturbin' Turban</v>
      </c>
      <c r="B66" s="30" t="str">
        <f>IFERROR(__xludf.DUMMYFUNCTION("""COMPUTED_VALUE"""),"Defence")</f>
        <v>Defence</v>
      </c>
      <c r="C66" s="30">
        <f>IFERROR(__xludf.DUMMYFUNCTION("""COMPUTED_VALUE"""),30.0)</f>
        <v>30</v>
      </c>
      <c r="D66" s="30">
        <f>IFERROR(__xludf.DUMMYFUNCTION("""COMPUTED_VALUE"""),31.0)</f>
        <v>31</v>
      </c>
      <c r="E66" s="30">
        <f>IFERROR(__xludf.DUMMYFUNCTION("""COMPUTED_VALUE"""),32.0)</f>
        <v>32</v>
      </c>
      <c r="F66" s="30">
        <f>IFERROR(__xludf.DUMMYFUNCTION("""COMPUTED_VALUE"""),34.0)</f>
        <v>34</v>
      </c>
      <c r="G66" s="30" t="str">
        <f>IFERROR(__xludf.DUMMYFUNCTION("""COMPUTED_VALUE"""),"Poison Protection (30%)
Dark Damage Reduction (20%)")</f>
        <v>Poison Protection (30%)
Dark Damage Reduction (20%)</v>
      </c>
      <c r="H66" s="57" t="str">
        <f>IFERROR(__xludf.DUMMYFUNCTION("""COMPUTED_VALUE"""),"Octagonia, Puerto Valor, Lonalulu, Phnom Nonh, Sniflheim, 5500")</f>
        <v>Octagonia, Puerto Valor, Lonalulu, Phnom Nonh, Sniflheim, 5500</v>
      </c>
      <c r="I66" s="42"/>
    </row>
    <row r="67">
      <c r="A67" s="53" t="str">
        <f>IFERROR(__xludf.DUMMYFUNCTION("""COMPUTED_VALUE"""),"Happy Hat")</f>
        <v>Happy Hat</v>
      </c>
      <c r="B67" s="31" t="str">
        <f>IFERROR(__xludf.DUMMYFUNCTION("""COMPUTED_VALUE"""),"Defence
Magic Might
Magic Mend")</f>
        <v>Defence
Magic Might
Magic Mend</v>
      </c>
      <c r="C67" s="31" t="str">
        <f>IFERROR(__xludf.DUMMYFUNCTION("""COMPUTED_VALUE"""),"31
25
25")</f>
        <v>31
25
25</v>
      </c>
      <c r="D67" s="31" t="str">
        <f>IFERROR(__xludf.DUMMYFUNCTION("""COMPUTED_VALUE"""),"32
26
26")</f>
        <v>32
26
26</v>
      </c>
      <c r="E67" s="31" t="str">
        <f>IFERROR(__xludf.DUMMYFUNCTION("""COMPUTED_VALUE"""),"33
27
27")</f>
        <v>33
27
27</v>
      </c>
      <c r="F67" s="31" t="str">
        <f>IFERROR(__xludf.DUMMYFUNCTION("""COMPUTED_VALUE"""),"35
29
29")</f>
        <v>35
29
29</v>
      </c>
      <c r="G67" s="31" t="str">
        <f>IFERROR(__xludf.DUMMYFUNCTION("""COMPUTED_VALUE"""),"MP Regeneration When Moving (1/1/2/3)")</f>
        <v>MP Regeneration When Moving (1/1/2/3)</v>
      </c>
      <c r="H67" s="41" t="str">
        <f>IFERROR(__xludf.DUMMYFUNCTION("""COMPUTED_VALUE"""),"Quest: A Rose Arose Wehre No Rose Grows
Octagonia Casino: 300000
Rare: Liquid Metal Slime, Ham Shamwitch")</f>
        <v>Quest: A Rose Arose Wehre No Rose Grows
Octagonia Casino: 300000
Rare: Liquid Metal Slime, Ham Shamwitch</v>
      </c>
      <c r="I67" s="41"/>
    </row>
    <row r="68">
      <c r="A68" s="54" t="str">
        <f>IFERROR(__xludf.DUMMYFUNCTION("""COMPUTED_VALUE"""),"Scholar's Cap")</f>
        <v>Scholar's Cap</v>
      </c>
      <c r="B68" s="30" t="str">
        <f>IFERROR(__xludf.DUMMYFUNCTION("""COMPUTED_VALUE"""),"Defence
Magic Might
Magic Mend")</f>
        <v>Defence
Magic Might
Magic Mend</v>
      </c>
      <c r="C68" s="30" t="str">
        <f>IFERROR(__xludf.DUMMYFUNCTION("""COMPUTED_VALUE"""),"33
12
12")</f>
        <v>33
12
12</v>
      </c>
      <c r="D68" s="30" t="str">
        <f>IFERROR(__xludf.DUMMYFUNCTION("""COMPUTED_VALUE"""),"34
13
13")</f>
        <v>34
13
13</v>
      </c>
      <c r="E68" s="30" t="str">
        <f>IFERROR(__xludf.DUMMYFUNCTION("""COMPUTED_VALUE"""),"35
14
14")</f>
        <v>35
14
14</v>
      </c>
      <c r="F68" s="30" t="str">
        <f>IFERROR(__xludf.DUMMYFUNCTION("""COMPUTED_VALUE"""),"36
15
15")</f>
        <v>36
15
15</v>
      </c>
      <c r="G68" s="30" t="str">
        <f>IFERROR(__xludf.DUMMYFUNCTION("""COMPUTED_VALUE"""),"--")</f>
        <v>--</v>
      </c>
      <c r="H68" s="42" t="str">
        <f>IFERROR(__xludf.DUMMYFUNCTION("""COMPUTED_VALUE"""),"Octagonia, Lonalulu, Phnom Nonh: 6500
Recipe: Fine Fashions for Philosophers")</f>
        <v>Octagonia, Lonalulu, Phnom Nonh: 6500
Recipe: Fine Fashions for Philosophers</v>
      </c>
      <c r="I68" s="42" t="str">
        <f>IFERROR(__xludf.DUMMYFUNCTION("""COMPUTED_VALUE"""),"Glimmergrass: 3
Blue Eye: 1
Celestial Skein: 2")</f>
        <v>Glimmergrass: 3
Blue Eye: 1
Celestial Skein: 2</v>
      </c>
    </row>
    <row r="69">
      <c r="A69" s="53" t="str">
        <f>IFERROR(__xludf.DUMMYFUNCTION("""COMPUTED_VALUE"""),"Gold Circlet")</f>
        <v>Gold Circlet</v>
      </c>
      <c r="B69" s="31" t="str">
        <f>IFERROR(__xludf.DUMMYFUNCTION("""COMPUTED_VALUE"""),"Defence
Magic Might
Magic Mend
Charm")</f>
        <v>Defence
Magic Might
Magic Mend
Charm</v>
      </c>
      <c r="C69" s="31" t="str">
        <f>IFERROR(__xludf.DUMMYFUNCTION("""COMPUTED_VALUE"""),"33
27
27
61")</f>
        <v>33
27
27
61</v>
      </c>
      <c r="D69" s="31" t="str">
        <f>IFERROR(__xludf.DUMMYFUNCTION("""COMPUTED_VALUE"""),"34
28
28
63")</f>
        <v>34
28
28
63</v>
      </c>
      <c r="E69" s="31" t="str">
        <f>IFERROR(__xludf.DUMMYFUNCTION("""COMPUTED_VALUE"""),"35
30
30
66")</f>
        <v>35
30
30
66</v>
      </c>
      <c r="F69" s="31" t="str">
        <f>IFERROR(__xludf.DUMMYFUNCTION("""COMPUTED_VALUE"""),"37
32
32
69")</f>
        <v>37
32
32
69</v>
      </c>
      <c r="G69" s="31" t="str">
        <f>IFERROR(__xludf.DUMMYFUNCTION("""COMPUTED_VALUE"""),"--")</f>
        <v>--</v>
      </c>
      <c r="H69" s="41" t="str">
        <f>IFERROR(__xludf.DUMMYFUNCTION("""COMPUTED_VALUE"""),"Recipe: Gilt Gear")</f>
        <v>Recipe: Gilt Gear</v>
      </c>
      <c r="I69" s="41" t="str">
        <f>IFERROR(__xludf.DUMMYFUNCTION("""COMPUTED_VALUE"""),"Gold Ore: 2
Red Eye: 1
Gold Nuglet: 1")</f>
        <v>Gold Ore: 2
Red Eye: 1
Gold Nuglet: 1</v>
      </c>
    </row>
    <row r="70">
      <c r="A70" s="54" t="str">
        <f>IFERROR(__xludf.DUMMYFUNCTION("""COMPUTED_VALUE"""),"Papillon Mask")</f>
        <v>Papillon Mask</v>
      </c>
      <c r="B70" s="30" t="str">
        <f>IFERROR(__xludf.DUMMYFUNCTION("""COMPUTED_VALUE"""),"Defence
Magic Might
Magic Mend")</f>
        <v>Defence
Magic Might
Magic Mend</v>
      </c>
      <c r="C70" s="30" t="str">
        <f>IFERROR(__xludf.DUMMYFUNCTION("""COMPUTED_VALUE"""),"33
27
22")</f>
        <v>33
27
22</v>
      </c>
      <c r="D70" s="30" t="str">
        <f>IFERROR(__xludf.DUMMYFUNCTION("""COMPUTED_VALUE"""),"34
28
23")</f>
        <v>34
28
23</v>
      </c>
      <c r="E70" s="30" t="str">
        <f>IFERROR(__xludf.DUMMYFUNCTION("""COMPUTED_VALUE"""),"35
29
24")</f>
        <v>35
29
24</v>
      </c>
      <c r="F70" s="30" t="str">
        <f>IFERROR(__xludf.DUMMYFUNCTION("""COMPUTED_VALUE"""),"37
31
25")</f>
        <v>37
31
25</v>
      </c>
      <c r="G70" s="30" t="str">
        <f>IFERROR(__xludf.DUMMYFUNCTION("""COMPUTED_VALUE"""),"Paralysis Protection (100%)")</f>
        <v>Paralysis Protection (100%)</v>
      </c>
      <c r="H70" s="42" t="str">
        <f>IFERROR(__xludf.DUMMYFUNCTION("""COMPUTED_VALUE"""),"Gallopolis, Gondolia: 8500
Recipe: The Mothmask Prophecies")</f>
        <v>Gallopolis, Gondolia: 8500
Recipe: The Mothmask Prophecies</v>
      </c>
      <c r="I70" s="42" t="str">
        <f>IFERROR(__xludf.DUMMYFUNCTION("""COMPUTED_VALUE"""),"Mythril Ore: 2
Butterfly Wing: 1
Coagulant: 1
Narspicious: 2")</f>
        <v>Mythril Ore: 2
Butterfly Wing: 1
Coagulant: 1
Narspicious: 2</v>
      </c>
    </row>
    <row r="71">
      <c r="A71" s="53" t="str">
        <f>IFERROR(__xludf.DUMMYFUNCTION("""COMPUTED_VALUE"""),"Minister's Mitre")</f>
        <v>Minister's Mitre</v>
      </c>
      <c r="B71" s="31" t="str">
        <f>IFERROR(__xludf.DUMMYFUNCTION("""COMPUTED_VALUE"""),"Defence
Magic Mend")</f>
        <v>Defence
Magic Mend</v>
      </c>
      <c r="C71" s="31" t="str">
        <f>IFERROR(__xludf.DUMMYFUNCTION("""COMPUTED_VALUE"""),"34
29")</f>
        <v>34
29</v>
      </c>
      <c r="D71" s="31" t="str">
        <f>IFERROR(__xludf.DUMMYFUNCTION("""COMPUTED_VALUE"""),"35
30")</f>
        <v>35
30</v>
      </c>
      <c r="E71" s="31" t="str">
        <f>IFERROR(__xludf.DUMMYFUNCTION("""COMPUTED_VALUE"""),"36
31")</f>
        <v>36
31</v>
      </c>
      <c r="F71" s="31" t="str">
        <f>IFERROR(__xludf.DUMMYFUNCTION("""COMPUTED_VALUE"""),"38
33")</f>
        <v>38
33</v>
      </c>
      <c r="G71" s="31" t="str">
        <f>IFERROR(__xludf.DUMMYFUNCTION("""COMPUTED_VALUE"""),"Insta-Death Protection (40%)")</f>
        <v>Insta-Death Protection (40%)</v>
      </c>
      <c r="H71" s="48" t="str">
        <f>IFERROR(__xludf.DUMMYFUNCTION("""COMPUTED_VALUE"""),"Gallopolis, Gondolia, Sniflheim, Arboria: 7300
Rare: Whackolyte")</f>
        <v>Gallopolis, Gondolia, Sniflheim, Arboria: 7300
Rare: Whackolyte</v>
      </c>
      <c r="I71" s="41"/>
    </row>
    <row r="72">
      <c r="A72" s="54" t="str">
        <f>IFERROR(__xludf.DUMMYFUNCTION("""COMPUTED_VALUE"""),"Golden Tiara")</f>
        <v>Golden Tiara</v>
      </c>
      <c r="B72" s="30" t="str">
        <f>IFERROR(__xludf.DUMMYFUNCTION("""COMPUTED_VALUE"""),"Defence")</f>
        <v>Defence</v>
      </c>
      <c r="C72" s="30">
        <f>IFERROR(__xludf.DUMMYFUNCTION("""COMPUTED_VALUE"""),50.0)</f>
        <v>50</v>
      </c>
      <c r="D72" s="30">
        <f>IFERROR(__xludf.DUMMYFUNCTION("""COMPUTED_VALUE"""),51.0)</f>
        <v>51</v>
      </c>
      <c r="E72" s="30">
        <f>IFERROR(__xludf.DUMMYFUNCTION("""COMPUTED_VALUE"""),52.0)</f>
        <v>52</v>
      </c>
      <c r="F72" s="30">
        <f>IFERROR(__xludf.DUMMYFUNCTION("""COMPUTED_VALUE"""),53.0)</f>
        <v>53</v>
      </c>
      <c r="G72" s="30" t="str">
        <f>IFERROR(__xludf.DUMMYFUNCTION("""COMPUTED_VALUE"""),"Sleep Protection (50/60/70/80%)
Confusion Protection (50/60/70/80%)
Spell-Sealing Protection (50/60/70/80%)
Insta-Death Protection (50/60/70/80%)")</f>
        <v>Sleep Protection (50/60/70/80%)
Confusion Protection (50/60/70/80%)
Spell-Sealing Protection (50/60/70/80%)
Insta-Death Protection (50/60/70/80%)</v>
      </c>
      <c r="H72" s="58" t="str">
        <f>IFERROR(__xludf.DUMMYFUNCTION("""COMPUTED_VALUE"""),"Postgame Event: Heliodor")</f>
        <v>Postgame Event: Heliodor</v>
      </c>
      <c r="I72" s="42"/>
    </row>
    <row r="73">
      <c r="A73" s="53" t="str">
        <f>IFERROR(__xludf.DUMMYFUNCTION("""COMPUTED_VALUE"""),"Cavalier Hat")</f>
        <v>Cavalier Hat</v>
      </c>
      <c r="B73" s="31" t="str">
        <f>IFERROR(__xludf.DUMMYFUNCTION("""COMPUTED_VALUE"""),"Defence
Magic Might
Charm")</f>
        <v>Defence
Magic Might
Charm</v>
      </c>
      <c r="C73" s="31" t="str">
        <f>IFERROR(__xludf.DUMMYFUNCTION("""COMPUTED_VALUE"""),"36
30
68")</f>
        <v>36
30
68</v>
      </c>
      <c r="D73" s="31" t="str">
        <f>IFERROR(__xludf.DUMMYFUNCTION("""COMPUTED_VALUE"""),"37
31
71")</f>
        <v>37
31
71</v>
      </c>
      <c r="E73" s="31" t="str">
        <f>IFERROR(__xludf.DUMMYFUNCTION("""COMPUTED_VALUE"""),"38
32
74")</f>
        <v>38
32
74</v>
      </c>
      <c r="F73" s="31" t="str">
        <f>IFERROR(__xludf.DUMMYFUNCTION("""COMPUTED_VALUE"""),"40
34
78")</f>
        <v>40
34
78</v>
      </c>
      <c r="G73" s="31" t="str">
        <f>IFERROR(__xludf.DUMMYFUNCTION("""COMPUTED_VALUE"""),"--")</f>
        <v>--</v>
      </c>
      <c r="H73" s="41" t="str">
        <f>IFERROR(__xludf.DUMMYFUNCTION("""COMPUTED_VALUE"""),"Sniflheim: 9200")</f>
        <v>Sniflheim: 9200</v>
      </c>
      <c r="I73" s="41"/>
    </row>
    <row r="74">
      <c r="A74" s="55" t="str">
        <f>IFERROR(__xludf.DUMMYFUNCTION("""COMPUTED_VALUE"""),"Corsair's Cap")</f>
        <v>Corsair's Cap</v>
      </c>
      <c r="B74" s="30" t="str">
        <f>IFERROR(__xludf.DUMMYFUNCTION("""COMPUTED_VALUE"""),"Defence
Evasion %
Agility
Charm")</f>
        <v>Defence
Evasion %
Agility
Charm</v>
      </c>
      <c r="C74" s="30" t="str">
        <f>IFERROR(__xludf.DUMMYFUNCTION("""COMPUTED_VALUE"""),"36
2
25
49")</f>
        <v>36
2
25
49</v>
      </c>
      <c r="D74" s="30" t="str">
        <f>IFERROR(__xludf.DUMMYFUNCTION("""COMPUTED_VALUE"""),"37
2
26
51")</f>
        <v>37
2
26
51</v>
      </c>
      <c r="E74" s="30" t="str">
        <f>IFERROR(__xludf.DUMMYFUNCTION("""COMPUTED_VALUE"""),"38
2
27
53")</f>
        <v>38
2
27
53</v>
      </c>
      <c r="F74" s="30" t="str">
        <f>IFERROR(__xludf.DUMMYFUNCTION("""COMPUTED_VALUE"""),"40
2
28
55")</f>
        <v>40
2
28
55</v>
      </c>
      <c r="G74" s="30" t="str">
        <f>IFERROR(__xludf.DUMMYFUNCTION("""COMPUTED_VALUE"""),"Lightning Damage Reduction (20%)")</f>
        <v>Lightning Damage Reduction (20%)</v>
      </c>
      <c r="H74" s="42" t="str">
        <f>IFERROR(__xludf.DUMMYFUNCTION("""COMPUTED_VALUE"""),"Rare: Gyldenbritches")</f>
        <v>Rare: Gyldenbritches</v>
      </c>
      <c r="I74" s="45"/>
    </row>
    <row r="75">
      <c r="A75" s="53" t="str">
        <f>IFERROR(__xludf.DUMMYFUNCTION("""COMPUTED_VALUE"""),"Freebooter's Bandana")</f>
        <v>Freebooter's Bandana</v>
      </c>
      <c r="B75" s="31" t="str">
        <f>IFERROR(__xludf.DUMMYFUNCTION("""COMPUTED_VALUE"""),"Defence 
Deftness
Agility")</f>
        <v>Defence 
Deftness
Agility</v>
      </c>
      <c r="C75" s="31" t="str">
        <f>IFERROR(__xludf.DUMMYFUNCTION("""COMPUTED_VALUE"""),"36
29
25")</f>
        <v>36
29
25</v>
      </c>
      <c r="D75" s="31" t="str">
        <f>IFERROR(__xludf.DUMMYFUNCTION("""COMPUTED_VALUE"""),"37
30
26")</f>
        <v>37
30
26</v>
      </c>
      <c r="E75" s="31" t="str">
        <f>IFERROR(__xludf.DUMMYFUNCTION("""COMPUTED_VALUE"""),"38
31
27")</f>
        <v>38
31
27</v>
      </c>
      <c r="F75" s="31" t="str">
        <f>IFERROR(__xludf.DUMMYFUNCTION("""COMPUTED_VALUE"""),"40
33
28")</f>
        <v>40
33
28</v>
      </c>
      <c r="G75" s="31" t="str">
        <f>IFERROR(__xludf.DUMMYFUNCTION("""COMPUTED_VALUE"""),"--")</f>
        <v>--</v>
      </c>
      <c r="H75" s="41" t="str">
        <f>IFERROR(__xludf.DUMMYFUNCTION("""COMPUTED_VALUE"""),"Downtown: 8800")</f>
        <v>Downtown: 8800</v>
      </c>
      <c r="I75" s="46"/>
    </row>
    <row r="76">
      <c r="A76" s="55" t="str">
        <f>IFERROR(__xludf.DUMMYFUNCTION("""COMPUTED_VALUE"""),"Tiara Tremenda")</f>
        <v>Tiara Tremenda</v>
      </c>
      <c r="B76" s="30" t="str">
        <f>IFERROR(__xludf.DUMMYFUNCTION("""COMPUTED_VALUE"""),"Defence
Charm")</f>
        <v>Defence
Charm</v>
      </c>
      <c r="C76" s="30" t="str">
        <f>IFERROR(__xludf.DUMMYFUNCTION("""COMPUTED_VALUE"""),"35
54")</f>
        <v>35
54</v>
      </c>
      <c r="D76" s="30" t="str">
        <f>IFERROR(__xludf.DUMMYFUNCTION("""COMPUTED_VALUE"""),"36
56")</f>
        <v>36
56</v>
      </c>
      <c r="E76" s="30" t="str">
        <f>IFERROR(__xludf.DUMMYFUNCTION("""COMPUTED_VALUE"""),"37
58")</f>
        <v>37
58</v>
      </c>
      <c r="F76" s="30" t="str">
        <f>IFERROR(__xludf.DUMMYFUNCTION("""COMPUTED_VALUE"""),"39
61")</f>
        <v>39
61</v>
      </c>
      <c r="G76" s="30" t="str">
        <f>IFERROR(__xludf.DUMMYFUNCTION("""COMPUTED_VALUE"""),"Spell-Sealing Protection (20%)
Ability-Sealing Protection (20%)
Sleep Protection (20%)")</f>
        <v>Spell-Sealing Protection (20%)
Ability-Sealing Protection (20%)
Sleep Protection (20%)</v>
      </c>
      <c r="H76" s="42" t="str">
        <f>IFERROR(__xludf.DUMMYFUNCTION("""COMPUTED_VALUE"""),"Recipe: Glam Gear for Go-Getters")</f>
        <v>Recipe: Glam Gear for Go-Getters</v>
      </c>
      <c r="I76" s="42" t="str">
        <f>IFERROR(__xludf.DUMMYFUNCTION("""COMPUTED_VALUE"""),"Gold Ore: 2
Royal Ruby: 1
Belle Cap: 2
Love Potion: 3")</f>
        <v>Gold Ore: 2
Royal Ruby: 1
Belle Cap: 2
Love Potion: 3</v>
      </c>
    </row>
    <row r="77">
      <c r="A77" s="53" t="str">
        <f>IFERROR(__xludf.DUMMYFUNCTION("""COMPUTED_VALUE"""),"Dragon Bandana")</f>
        <v>Dragon Bandana</v>
      </c>
      <c r="B77" s="31" t="str">
        <f>IFERROR(__xludf.DUMMYFUNCTION("""COMPUTED_VALUE"""),"Defence
Deftness")</f>
        <v>Defence
Deftness</v>
      </c>
      <c r="C77" s="31" t="str">
        <f>IFERROR(__xludf.DUMMYFUNCTION("""COMPUTED_VALUE"""),"41
33")</f>
        <v>41
33</v>
      </c>
      <c r="D77" s="31" t="str">
        <f>IFERROR(__xludf.DUMMYFUNCTION("""COMPUTED_VALUE"""),"44
34")</f>
        <v>44
34</v>
      </c>
      <c r="E77" s="31" t="str">
        <f>IFERROR(__xludf.DUMMYFUNCTION("""COMPUTED_VALUE"""),"47
35")</f>
        <v>47
35</v>
      </c>
      <c r="F77" s="31" t="str">
        <f>IFERROR(__xludf.DUMMYFUNCTION("""COMPUTED_VALUE"""),"50
36")</f>
        <v>50
36</v>
      </c>
      <c r="G77" s="31" t="str">
        <f>IFERROR(__xludf.DUMMYFUNCTION("""COMPUTED_VALUE"""),"--")</f>
        <v>--</v>
      </c>
      <c r="H77" s="48" t="str">
        <f>IFERROR(__xludf.DUMMYFUNCTION("""COMPUTED_VALUE"""),"Hotto: 12000
Rare: Dread Dragooner, Vicious Hellrider")</f>
        <v>Hotto: 12000
Rare: Dread Dragooner, Vicious Hellrider</v>
      </c>
      <c r="I77" s="41"/>
    </row>
    <row r="78">
      <c r="A78" s="54" t="str">
        <f>IFERROR(__xludf.DUMMYFUNCTION("""COMPUTED_VALUE"""),"Star Circlet")</f>
        <v>Star Circlet</v>
      </c>
      <c r="B78" s="30" t="str">
        <f>IFERROR(__xludf.DUMMYFUNCTION("""COMPUTED_VALUE"""),"Defence
Magic Might
Magic Mend")</f>
        <v>Defence
Magic Might
Magic Mend</v>
      </c>
      <c r="C78" s="30" t="str">
        <f>IFERROR(__xludf.DUMMYFUNCTION("""COMPUTED_VALUE"""),"42
35
29")</f>
        <v>42
35
29</v>
      </c>
      <c r="D78" s="30" t="str">
        <f>IFERROR(__xludf.DUMMYFUNCTION("""COMPUTED_VALUE"""),"45
36
30")</f>
        <v>45
36
30</v>
      </c>
      <c r="E78" s="30" t="str">
        <f>IFERROR(__xludf.DUMMYFUNCTION("""COMPUTED_VALUE"""),"48
37
30")</f>
        <v>48
37
30</v>
      </c>
      <c r="F78" s="30" t="str">
        <f>IFERROR(__xludf.DUMMYFUNCTION("""COMPUTED_VALUE"""),"51
39
31")</f>
        <v>51
39
31</v>
      </c>
      <c r="G78" s="30" t="str">
        <f>IFERROR(__xludf.DUMMYFUNCTION("""COMPUTED_VALUE"""),"Confusion Protection (30%)")</f>
        <v>Confusion Protection (30%)</v>
      </c>
      <c r="H78" s="42" t="str">
        <f>IFERROR(__xludf.DUMMYFUNCTION("""COMPUTED_VALUE"""),"Havens Above, Trial Isle: 20000")</f>
        <v>Havens Above, Trial Isle: 20000</v>
      </c>
      <c r="I78" s="45"/>
    </row>
    <row r="79">
      <c r="A79" s="56" t="str">
        <f>IFERROR(__xludf.DUMMYFUNCTION("""COMPUTED_VALUE"""),"Swindler King's Scarf")</f>
        <v>Swindler King's Scarf</v>
      </c>
      <c r="B79" s="31" t="str">
        <f>IFERROR(__xludf.DUMMYFUNCTION("""COMPUTED_VALUE"""),"Defence
Evasion %
Deftness
Charm")</f>
        <v>Defence
Evasion %
Deftness
Charm</v>
      </c>
      <c r="C79" s="31" t="str">
        <f>IFERROR(__xludf.DUMMYFUNCTION("""COMPUTED_VALUE"""),"41
2
33
57")</f>
        <v>41
2
33
57</v>
      </c>
      <c r="D79" s="31" t="str">
        <f>IFERROR(__xludf.DUMMYFUNCTION("""COMPUTED_VALUE"""),"44
2
34
59")</f>
        <v>44
2
34
59</v>
      </c>
      <c r="E79" s="31" t="str">
        <f>IFERROR(__xludf.DUMMYFUNCTION("""COMPUTED_VALUE"""),"47
2
35
62")</f>
        <v>47
2
35
62</v>
      </c>
      <c r="F79" s="31" t="str">
        <f>IFERROR(__xludf.DUMMYFUNCTION("""COMPUTED_VALUE"""),"50
2
36
65")</f>
        <v>50
2
36
65</v>
      </c>
      <c r="G79" s="31" t="str">
        <f>IFERROR(__xludf.DUMMYFUNCTION("""COMPUTED_VALUE"""),"Chance of Successfully Stealing (3/4/5/6%)")</f>
        <v>Chance of Successfully Stealing (3/4/5/6%)</v>
      </c>
      <c r="H79" s="41" t="str">
        <f>IFERROR(__xludf.DUMMYFUNCTION("""COMPUTED_VALUE"""),"Recipe: King of the Swindlers")</f>
        <v>Recipe: King of the Swindlers</v>
      </c>
      <c r="I79" s="41" t="str">
        <f>IFERROR(__xludf.DUMMYFUNCTION("""COMPUTED_VALUE"""),"Technicolour Dreamcloth: 2
Gold Nuglet: 1
Royal Ruby: 2
Slipweed: 2")</f>
        <v>Technicolour Dreamcloth: 2
Gold Nuglet: 1
Royal Ruby: 2
Slipweed: 2</v>
      </c>
    </row>
    <row r="80">
      <c r="A80" s="55" t="str">
        <f>IFERROR(__xludf.DUMMYFUNCTION("""COMPUTED_VALUE"""),"Stellar Starflower")</f>
        <v>Stellar Starflower</v>
      </c>
      <c r="B80" s="30" t="str">
        <f>IFERROR(__xludf.DUMMYFUNCTION("""COMPUTED_VALUE"""),"Defence
Magic Might
Evasion %
Charm")</f>
        <v>Defence
Magic Might
Evasion %
Charm</v>
      </c>
      <c r="C80" s="30" t="str">
        <f>IFERROR(__xludf.DUMMYFUNCTION("""COMPUTED_VALUE"""),"41
35
2
79")</f>
        <v>41
35
2
79</v>
      </c>
      <c r="D80" s="30" t="str">
        <f>IFERROR(__xludf.DUMMYFUNCTION("""COMPUTED_VALUE"""),"44
36
2
83")</f>
        <v>44
36
2
83</v>
      </c>
      <c r="E80" s="30" t="str">
        <f>IFERROR(__xludf.DUMMYFUNCTION("""COMPUTED_VALUE"""),"47
37
2
87")</f>
        <v>47
37
2
87</v>
      </c>
      <c r="F80" s="30" t="str">
        <f>IFERROR(__xludf.DUMMYFUNCTION("""COMPUTED_VALUE"""),"50
39
2
91")</f>
        <v>50
39
2
91</v>
      </c>
      <c r="G80" s="30" t="str">
        <f>IFERROR(__xludf.DUMMYFUNCTION("""COMPUTED_VALUE"""),"--")</f>
        <v>--</v>
      </c>
      <c r="H80" s="42" t="str">
        <f>IFERROR(__xludf.DUMMYFUNCTION("""COMPUTED_VALUE"""),"Postgame Event: Octagonia")</f>
        <v>Postgame Event: Octagonia</v>
      </c>
      <c r="I80" s="45"/>
    </row>
    <row r="81">
      <c r="A81" s="53" t="str">
        <f>IFERROR(__xludf.DUMMYFUNCTION("""COMPUTED_VALUE"""),"Phantom Mask")</f>
        <v>Phantom Mask</v>
      </c>
      <c r="B81" s="31" t="str">
        <f>IFERROR(__xludf.DUMMYFUNCTION("""COMPUTED_VALUE"""),"Defence
Evasion %
Agility")</f>
        <v>Defence
Evasion %
Agility</v>
      </c>
      <c r="C81" s="31" t="str">
        <f>IFERROR(__xludf.DUMMYFUNCTION("""COMPUTED_VALUE"""),"51
2
33")</f>
        <v>51
2
33</v>
      </c>
      <c r="D81" s="31" t="str">
        <f>IFERROR(__xludf.DUMMYFUNCTION("""COMPUTED_VALUE"""),"53
3
34")</f>
        <v>53
3
34</v>
      </c>
      <c r="E81" s="31" t="str">
        <f>IFERROR(__xludf.DUMMYFUNCTION("""COMPUTED_VALUE"""),"56
3
35")</f>
        <v>56
3
35</v>
      </c>
      <c r="F81" s="31" t="str">
        <f>IFERROR(__xludf.DUMMYFUNCTION("""COMPUTED_VALUE"""),"59
4
37")</f>
        <v>59
4
37</v>
      </c>
      <c r="G81" s="31" t="str">
        <f>IFERROR(__xludf.DUMMYFUNCTION("""COMPUTED_VALUE"""),"--")</f>
        <v>--</v>
      </c>
      <c r="H81" s="41" t="str">
        <f>IFERROR(__xludf.DUMMYFUNCTION("""COMPUTED_VALUE"""),"Recipe: The Fandom of the Opera")</f>
        <v>Recipe: The Fandom of the Opera</v>
      </c>
      <c r="I81" s="41" t="str">
        <f>IFERROR(__xludf.DUMMYFUNCTION("""COMPUTED_VALUE"""),"Platinum Ore: 2
Butterfly Wing: 2
Evencloth: 3
Slipweed: 3
Spectralite: 1")</f>
        <v>Platinum Ore: 2
Butterfly Wing: 2
Evencloth: 3
Slipweed: 3
Spectralite: 1</v>
      </c>
    </row>
    <row r="82">
      <c r="A82" s="54" t="str">
        <f>IFERROR(__xludf.DUMMYFUNCTION("""COMPUTED_VALUE"""),"Spring Breeze Hat")</f>
        <v>Spring Breeze Hat</v>
      </c>
      <c r="B82" s="30" t="str">
        <f>IFERROR(__xludf.DUMMYFUNCTION("""COMPUTED_VALUE"""),"Defence
Magic Might
Magic Mend")</f>
        <v>Defence
Magic Might
Magic Mend</v>
      </c>
      <c r="C82" s="30" t="str">
        <f>IFERROR(__xludf.DUMMYFUNCTION("""COMPUTED_VALUE"""),"51
20
40")</f>
        <v>51
20
40</v>
      </c>
      <c r="D82" s="30" t="str">
        <f>IFERROR(__xludf.DUMMYFUNCTION("""COMPUTED_VALUE"""),"53
20
41")</f>
        <v>53
20
41</v>
      </c>
      <c r="E82" s="30" t="str">
        <f>IFERROR(__xludf.DUMMYFUNCTION("""COMPUTED_VALUE"""),"56
21
42")</f>
        <v>56
21
42</v>
      </c>
      <c r="F82" s="30" t="str">
        <f>IFERROR(__xludf.DUMMYFUNCTION("""COMPUTED_VALUE"""),"59
21
43")</f>
        <v>59
21
43</v>
      </c>
      <c r="G82" s="30" t="str">
        <f>IFERROR(__xludf.DUMMYFUNCTION("""COMPUTED_VALUE"""),"Bedazzlment Protection (25%)")</f>
        <v>Bedazzlment Protection (25%)</v>
      </c>
      <c r="H82" s="42" t="str">
        <f>IFERROR(__xludf.DUMMYFUNCTION("""COMPUTED_VALUE"""),"Recipe: Styles for All Seasons")</f>
        <v>Recipe: Styles for All Seasons</v>
      </c>
      <c r="I82" s="42" t="str">
        <f>IFERROR(__xludf.DUMMYFUNCTION("""COMPUTED_VALUE"""),"Colourful Cocoon: 2
Chronocrystal: 1
Equable Emerald: 1
Faerie Fluff: 3
Cherry Blossom Petal: 2")</f>
        <v>Colourful Cocoon: 2
Chronocrystal: 1
Equable Emerald: 1
Faerie Fluff: 3
Cherry Blossom Petal: 2</v>
      </c>
    </row>
    <row r="83">
      <c r="A83" s="53" t="str">
        <f>IFERROR(__xludf.DUMMYFUNCTION("""COMPUTED_VALUE"""),"Summer Cloud Hat")</f>
        <v>Summer Cloud Hat</v>
      </c>
      <c r="B83" s="31" t="str">
        <f>IFERROR(__xludf.DUMMYFUNCTION("""COMPUTED_VALUE"""),"Defence
Magic Might
Magic Mend")</f>
        <v>Defence
Magic Might
Magic Mend</v>
      </c>
      <c r="C83" s="31" t="str">
        <f>IFERROR(__xludf.DUMMYFUNCTION("""COMPUTED_VALUE"""),"51
25
32")</f>
        <v>51
25
32</v>
      </c>
      <c r="D83" s="31" t="str">
        <f>IFERROR(__xludf.DUMMYFUNCTION("""COMPUTED_VALUE"""),"53
26
33")</f>
        <v>53
26
33</v>
      </c>
      <c r="E83" s="31" t="str">
        <f>IFERROR(__xludf.DUMMYFUNCTION("""COMPUTED_VALUE"""),"56
27
34")</f>
        <v>56
27
34</v>
      </c>
      <c r="F83" s="31" t="str">
        <f>IFERROR(__xludf.DUMMYFUNCTION("""COMPUTED_VALUE"""),"59
28
35")</f>
        <v>59
28
35</v>
      </c>
      <c r="G83" s="31" t="str">
        <f>IFERROR(__xludf.DUMMYFUNCTION("""COMPUTED_VALUE"""),"Insta-Death Protection (25%)")</f>
        <v>Insta-Death Protection (25%)</v>
      </c>
      <c r="H83" s="41" t="str">
        <f>IFERROR(__xludf.DUMMYFUNCTION("""COMPUTED_VALUE"""),"Recipe: Styles for All Seasons")</f>
        <v>Recipe: Styles for All Seasons</v>
      </c>
      <c r="I83" s="41" t="str">
        <f>IFERROR(__xludf.DUMMYFUNCTION("""COMPUTED_VALUE"""),"Colourful Cocoon: 2
Chronocrystal: 1
Savvy Sapphire: 1
Faerie Fluff: 3
Waveweed: 2")</f>
        <v>Colourful Cocoon: 2
Chronocrystal: 1
Savvy Sapphire: 1
Faerie Fluff: 3
Waveweed: 2</v>
      </c>
    </row>
    <row r="84">
      <c r="A84" s="54" t="str">
        <f>IFERROR(__xludf.DUMMYFUNCTION("""COMPUTED_VALUE"""),"Autumn Shower Hat")</f>
        <v>Autumn Shower Hat</v>
      </c>
      <c r="B84" s="30" t="str">
        <f>IFERROR(__xludf.DUMMYFUNCTION("""COMPUTED_VALUE"""),"Defence
Magic Might
Magic Mend")</f>
        <v>Defence
Magic Might
Magic Mend</v>
      </c>
      <c r="C84" s="30" t="str">
        <f>IFERROR(__xludf.DUMMYFUNCTION("""COMPUTED_VALUE"""),"51
31
26")</f>
        <v>51
31
26</v>
      </c>
      <c r="D84" s="30" t="str">
        <f>IFERROR(__xludf.DUMMYFUNCTION("""COMPUTED_VALUE"""),"53
32
27")</f>
        <v>53
32
27</v>
      </c>
      <c r="E84" s="30" t="str">
        <f>IFERROR(__xludf.DUMMYFUNCTION("""COMPUTED_VALUE"""),"56
33
27")</f>
        <v>56
33
27</v>
      </c>
      <c r="F84" s="30" t="str">
        <f>IFERROR(__xludf.DUMMYFUNCTION("""COMPUTED_VALUE"""),"59
34
28")</f>
        <v>59
34
28</v>
      </c>
      <c r="G84" s="30" t="str">
        <f>IFERROR(__xludf.DUMMYFUNCTION("""COMPUTED_VALUE"""),"Confusion Protection (25%)")</f>
        <v>Confusion Protection (25%)</v>
      </c>
      <c r="H84" s="42" t="str">
        <f>IFERROR(__xludf.DUMMYFUNCTION("""COMPUTED_VALUE"""),"Recipe: Styles for All Seasons")</f>
        <v>Recipe: Styles for All Seasons</v>
      </c>
      <c r="I84" s="42" t="str">
        <f>IFERROR(__xludf.DUMMYFUNCTION("""COMPUTED_VALUE"""),"Colourful Cocoon: 2
Chronocrystal: 1
Sunny Citrine: 1
Faerie Fluff: 3
Cumulonimbough: 2")</f>
        <v>Colourful Cocoon: 2
Chronocrystal: 1
Sunny Citrine: 1
Faerie Fluff: 3
Cumulonimbough: 2</v>
      </c>
    </row>
    <row r="85">
      <c r="A85" s="53" t="str">
        <f>IFERROR(__xludf.DUMMYFUNCTION("""COMPUTED_VALUE"""),"Winter Sky Hat")</f>
        <v>Winter Sky Hat</v>
      </c>
      <c r="B85" s="31" t="str">
        <f>IFERROR(__xludf.DUMMYFUNCTION("""COMPUTED_VALUE"""),"Defence
Magic Might
Magic Mend")</f>
        <v>Defence
Magic Might
Magic Mend</v>
      </c>
      <c r="C85" s="31" t="str">
        <f>IFERROR(__xludf.DUMMYFUNCTION("""COMPUTED_VALUE"""),"51
39
20")</f>
        <v>51
39
20</v>
      </c>
      <c r="D85" s="31" t="str">
        <f>IFERROR(__xludf.DUMMYFUNCTION("""COMPUTED_VALUE"""),"53
40
21")</f>
        <v>53
40
21</v>
      </c>
      <c r="E85" s="31" t="str">
        <f>IFERROR(__xludf.DUMMYFUNCTION("""COMPUTED_VALUE"""),"56
41
21")</f>
        <v>56
41
21</v>
      </c>
      <c r="F85" s="31" t="str">
        <f>IFERROR(__xludf.DUMMYFUNCTION("""COMPUTED_VALUE"""),"59
43
22")</f>
        <v>59
43
22</v>
      </c>
      <c r="G85" s="31" t="str">
        <f>IFERROR(__xludf.DUMMYFUNCTION("""COMPUTED_VALUE"""),"Sleep Protection (25%)")</f>
        <v>Sleep Protection (25%)</v>
      </c>
      <c r="H85" s="41" t="str">
        <f>IFERROR(__xludf.DUMMYFUNCTION("""COMPUTED_VALUE"""),"Recipe: Styles for All Seasons")</f>
        <v>Recipe: Styles for All Seasons</v>
      </c>
      <c r="I85" s="41" t="str">
        <f>IFERROR(__xludf.DUMMYFUNCTION("""COMPUTED_VALUE"""),"Colourful Cocoon: 2
Chronocrystal: 1
Artful Amethyst: 1
Faerie Fluff: 3
Permasnow: 2")</f>
        <v>Colourful Cocoon: 2
Chronocrystal: 1
Artful Amethyst: 1
Faerie Fluff: 3
Permasnow: 2</v>
      </c>
    </row>
    <row r="86">
      <c r="A86" s="55" t="str">
        <f>IFERROR(__xludf.DUMMYFUNCTION("""COMPUTED_VALUE"""),"Pirate King's Cap")</f>
        <v>Pirate King's Cap</v>
      </c>
      <c r="B86" s="30" t="str">
        <f>IFERROR(__xludf.DUMMYFUNCTION("""COMPUTED_VALUE"""),"Defence
Evasion %
Agility
Charm")</f>
        <v>Defence
Evasion %
Agility
Charm</v>
      </c>
      <c r="C86" s="30" t="str">
        <f>IFERROR(__xludf.DUMMYFUNCTION("""COMPUTED_VALUE"""),"59
2
37
75")</f>
        <v>59
2
37
75</v>
      </c>
      <c r="D86" s="30" t="str">
        <f>IFERROR(__xludf.DUMMYFUNCTION("""COMPUTED_VALUE"""),"64
2
39
80")</f>
        <v>64
2
39
80</v>
      </c>
      <c r="E86" s="30" t="str">
        <f>IFERROR(__xludf.DUMMYFUNCTION("""COMPUTED_VALUE"""),"69
2
42
85")</f>
        <v>69
2
42
85</v>
      </c>
      <c r="F86" s="30" t="str">
        <f>IFERROR(__xludf.DUMMYFUNCTION("""COMPUTED_VALUE"""),"74
2
45
90")</f>
        <v>74
2
45
90</v>
      </c>
      <c r="G86" s="30" t="str">
        <f>IFERROR(__xludf.DUMMYFUNCTION("""COMPUTED_VALUE"""),"Lightning Damage Reduction (20/30/40/50%)")</f>
        <v>Lightning Damage Reduction (20/30/40/50%)</v>
      </c>
      <c r="H86" s="42" t="str">
        <f>IFERROR(__xludf.DUMMYFUNCTION("""COMPUTED_VALUE"""),"Postgame Event: Lonalulu")</f>
        <v>Postgame Event: Lonalulu</v>
      </c>
      <c r="I86" s="42"/>
    </row>
    <row r="87">
      <c r="A87" s="56" t="str">
        <f>IFERROR(__xludf.DUMMYFUNCTION("""COMPUTED_VALUE"""),"Crown of Eternity")</f>
        <v>Crown of Eternity</v>
      </c>
      <c r="B87" s="31" t="str">
        <f>IFERROR(__xludf.DUMMYFUNCTION("""COMPUTED_VALUE"""),"Defence
Magic Might
Charm")</f>
        <v>Defence
Magic Might
Charm</v>
      </c>
      <c r="C87" s="31" t="str">
        <f>IFERROR(__xludf.DUMMYFUNCTION("""COMPUTED_VALUE"""),"54
43
105")</f>
        <v>54
43
105</v>
      </c>
      <c r="D87" s="31" t="str">
        <f>IFERROR(__xludf.DUMMYFUNCTION("""COMPUTED_VALUE"""),"58
45
111")</f>
        <v>58
45
111</v>
      </c>
      <c r="E87" s="31" t="str">
        <f>IFERROR(__xludf.DUMMYFUNCTION("""COMPUTED_VALUE"""),"63
47
118")</f>
        <v>63
47
118</v>
      </c>
      <c r="F87" s="31" t="str">
        <f>IFERROR(__xludf.DUMMYFUNCTION("""COMPUTED_VALUE"""),"68
50
125")</f>
        <v>68
50
125</v>
      </c>
      <c r="G87" s="31" t="str">
        <f>IFERROR(__xludf.DUMMYFUNCTION("""COMPUTED_VALUE"""),"Critical Spell Chance Increase (1/2/2/3%)
MP Theft Reduction (50/60/80/100%)")</f>
        <v>Critical Spell Chance Increase (1/2/2/3%)
MP Theft Reduction (50/60/80/100%)</v>
      </c>
      <c r="H87" s="41" t="str">
        <f>IFERROR(__xludf.DUMMYFUNCTION("""COMPUTED_VALUE"""),"Recipe: Eternal Elegance")</f>
        <v>Recipe: Eternal Elegance</v>
      </c>
      <c r="I87" s="41" t="str">
        <f>IFERROR(__xludf.DUMMYFUNCTION("""COMPUTED_VALUE"""),"Kaleidocloth: 1
Cumulonimbough: 2
Permasnow: 2
Chronocrystal: 2")</f>
        <v>Kaleidocloth: 1
Cumulonimbough: 2
Permasnow: 2
Chronocrystal: 2</v>
      </c>
    </row>
    <row r="88">
      <c r="A88" s="55" t="str">
        <f>IFERROR(__xludf.DUMMYFUNCTION("""COMPUTED_VALUE"""),"Serenica's Circlet")</f>
        <v>Serenica's Circlet</v>
      </c>
      <c r="B88" s="30" t="str">
        <f>IFERROR(__xludf.DUMMYFUNCTION("""COMPUTED_VALUE"""),"Defence
Magic Mend
Max MP
Charm")</f>
        <v>Defence
Magic Mend
Max MP
Charm</v>
      </c>
      <c r="C88" s="30" t="str">
        <f>IFERROR(__xludf.DUMMYFUNCTION("""COMPUTED_VALUE"""),"60
40
27
105")</f>
        <v>60
40
27
105</v>
      </c>
      <c r="D88" s="30" t="str">
        <f>IFERROR(__xludf.DUMMYFUNCTION("""COMPUTED_VALUE"""),"65
41
28
111")</f>
        <v>65
41
28
111</v>
      </c>
      <c r="E88" s="30" t="str">
        <f>IFERROR(__xludf.DUMMYFUNCTION("""COMPUTED_VALUE"""),"70
43
29
118")</f>
        <v>70
43
29
118</v>
      </c>
      <c r="F88" s="30" t="str">
        <f>IFERROR(__xludf.DUMMYFUNCTION("""COMPUTED_VALUE"""),"75
45
30
125")</f>
        <v>75
45
30
125</v>
      </c>
      <c r="G88" s="30" t="str">
        <f>IFERROR(__xludf.DUMMYFUNCTION("""COMPUTED_VALUE"""),"Post-Battle MP Restoration (5/6/8/10)
Insta-Death Protection (100%)
Turn Skip Protection (20/30/40/50%)")</f>
        <v>Post-Battle MP Restoration (5/6/8/10)
Insta-Death Protection (100%)
Turn Skip Protection (20/30/40/50%)</v>
      </c>
      <c r="H88" s="42" t="str">
        <f>IFERROR(__xludf.DUMMYFUNCTION("""COMPUTED_VALUE"""),"Sage's Trial - Fierce Forest")</f>
        <v>Sage's Trial - Fierce Forest</v>
      </c>
      <c r="I88" s="42"/>
    </row>
    <row r="89">
      <c r="A89" s="56" t="str">
        <f>IFERROR(__xludf.DUMMYFUNCTION("""COMPUTED_VALUE"""),"Tiara Tremendisima")</f>
        <v>Tiara Tremendisima</v>
      </c>
      <c r="B89" s="31" t="str">
        <f>IFERROR(__xludf.DUMMYFUNCTION("""COMPUTED_VALUE"""),"Defence
Charm")</f>
        <v>Defence
Charm</v>
      </c>
      <c r="C89" s="31" t="str">
        <f>IFERROR(__xludf.DUMMYFUNCTION("""COMPUTED_VALUE"""),"57
84")</f>
        <v>57
84</v>
      </c>
      <c r="D89" s="31" t="str">
        <f>IFERROR(__xludf.DUMMYFUNCTION("""COMPUTED_VALUE"""),"61
89")</f>
        <v>61
89</v>
      </c>
      <c r="E89" s="31" t="str">
        <f>IFERROR(__xludf.DUMMYFUNCTION("""COMPUTED_VALUE"""),"66
94")</f>
        <v>66
94</v>
      </c>
      <c r="F89" s="31" t="str">
        <f>IFERROR(__xludf.DUMMYFUNCTION("""COMPUTED_VALUE"""),"71
100")</f>
        <v>71
100</v>
      </c>
      <c r="G89" s="31" t="str">
        <f>IFERROR(__xludf.DUMMYFUNCTION("""COMPUTED_VALUE"""),"Spell-Sealing Protection (20/30/40/50%)
Ability-Sealing Protection (20/30/40/50%)
Sleep Protection (20/30/40/50%)")</f>
        <v>Spell-Sealing Protection (20/30/40/50%)
Ability-Sealing Protection (20/30/40/50%)
Sleep Protection (20/30/40/50%)</v>
      </c>
      <c r="H89" s="41" t="str">
        <f>IFERROR(__xludf.DUMMYFUNCTION("""COMPUTED_VALUE"""),"Recipe: Glammer Gear for Goer-Getterers")</f>
        <v>Recipe: Glammer Gear for Goer-Getterers</v>
      </c>
      <c r="I89" s="41" t="str">
        <f>IFERROR(__xludf.DUMMYFUNCTION("""COMPUTED_VALUE"""),"Gold Bar: 2
Spectralite: 1
Lucida Shard: 2
Crimsonite: 1
Love Potion: 3")</f>
        <v>Gold Bar: 2
Spectralite: 1
Lucida Shard: 2
Crimsonite: 1
Love Potion: 3</v>
      </c>
    </row>
    <row r="90">
      <c r="A90" s="55" t="str">
        <f>IFERROR(__xludf.DUMMYFUNCTION("""COMPUTED_VALUE"""),"Xenlon Hair Ring")</f>
        <v>Xenlon Hair Ring</v>
      </c>
      <c r="B90" s="30" t="str">
        <f>IFERROR(__xludf.DUMMYFUNCTION("""COMPUTED_VALUE"""),"Defence
Charm")</f>
        <v>Defence
Charm</v>
      </c>
      <c r="C90" s="30" t="str">
        <f>IFERROR(__xludf.DUMMYFUNCTION("""COMPUTED_VALUE"""),"56
105")</f>
        <v>56
105</v>
      </c>
      <c r="D90" s="30" t="str">
        <f>IFERROR(__xludf.DUMMYFUNCTION("""COMPUTED_VALUE"""),"60
111")</f>
        <v>60
111</v>
      </c>
      <c r="E90" s="30" t="str">
        <f>IFERROR(__xludf.DUMMYFUNCTION("""COMPUTED_VALUE"""),"65
118")</f>
        <v>65
118</v>
      </c>
      <c r="F90" s="30" t="str">
        <f>IFERROR(__xludf.DUMMYFUNCTION("""COMPUTED_VALUE"""),"70
125")</f>
        <v>70
125</v>
      </c>
      <c r="G90" s="30" t="str">
        <f>IFERROR(__xludf.DUMMYFUNCTION("""COMPUTED_VALUE"""),"Status Ailment Protection (25%)")</f>
        <v>Status Ailment Protection (25%)</v>
      </c>
      <c r="H90" s="42" t="str">
        <f>IFERROR(__xludf.DUMMYFUNCTION("""COMPUTED_VALUE"""),"Recipe: Shine on, Xenlon")</f>
        <v>Recipe: Shine on, Xenlon</v>
      </c>
      <c r="I90" s="42" t="str">
        <f>IFERROR(__xludf.DUMMYFUNCTION("""COMPUTED_VALUE"""),"Gold Bar: 2
Spectralite: 1
Crimsonite: 1
Serpent's Soul: 1
Saint's Ashes: 2")</f>
        <v>Gold Bar: 2
Spectralite: 1
Crimsonite: 1
Serpent's Soul: 1
Saint's Ashes: 2</v>
      </c>
    </row>
    <row r="91">
      <c r="A91" s="56" t="str">
        <f>IFERROR(__xludf.DUMMYFUNCTION("""COMPUTED_VALUE"""),"Trodain Bandana")</f>
        <v>Trodain Bandana</v>
      </c>
      <c r="B91" s="31" t="str">
        <f>IFERROR(__xludf.DUMMYFUNCTION("""COMPUTED_VALUE"""),"Defence
Max MP")</f>
        <v>Defence
Max MP</v>
      </c>
      <c r="C91" s="31" t="str">
        <f>IFERROR(__xludf.DUMMYFUNCTION("""COMPUTED_VALUE"""),"1
2")</f>
        <v>1
2</v>
      </c>
      <c r="D91" s="31" t="str">
        <f>IFERROR(__xludf.DUMMYFUNCTION("""COMPUTED_VALUE"""),"--")</f>
        <v>--</v>
      </c>
      <c r="E91" s="31" t="str">
        <f>IFERROR(__xludf.DUMMYFUNCTION("""COMPUTED_VALUE"""),"--")</f>
        <v>--</v>
      </c>
      <c r="F91" s="31" t="str">
        <f>IFERROR(__xludf.DUMMYFUNCTION("""COMPUTED_VALUE"""),"--")</f>
        <v>--</v>
      </c>
      <c r="G91" s="31" t="str">
        <f>IFERROR(__xludf.DUMMYFUNCTION("""COMPUTED_VALUE"""),"--")</f>
        <v>--</v>
      </c>
      <c r="H91" s="48" t="str">
        <f>IFERROR(__xludf.DUMMYFUNCTION("""COMPUTED_VALUE"""),"Story")</f>
        <v>Story</v>
      </c>
      <c r="I91" s="41"/>
    </row>
    <row r="92">
      <c r="A92" s="55" t="str">
        <f>IFERROR(__xludf.DUMMYFUNCTION("""COMPUTED_VALUE"""),"Artisanal Trodain Bandana")</f>
        <v>Artisanal Trodain Bandana</v>
      </c>
      <c r="B92" s="30" t="str">
        <f>IFERROR(__xludf.DUMMYFUNCTION("""COMPUTED_VALUE"""),"Defence
Max MP")</f>
        <v>Defence
Max MP</v>
      </c>
      <c r="C92" s="30" t="str">
        <f>IFERROR(__xludf.DUMMYFUNCTION("""COMPUTED_VALUE"""),"42
20")</f>
        <v>42
20</v>
      </c>
      <c r="D92" s="30" t="str">
        <f>IFERROR(__xludf.DUMMYFUNCTION("""COMPUTED_VALUE"""),"45
22")</f>
        <v>45
22</v>
      </c>
      <c r="E92" s="30" t="str">
        <f>IFERROR(__xludf.DUMMYFUNCTION("""COMPUTED_VALUE"""),"48
24")</f>
        <v>48
24</v>
      </c>
      <c r="F92" s="30" t="str">
        <f>IFERROR(__xludf.DUMMYFUNCTION("""COMPUTED_VALUE"""),"51
28")</f>
        <v>51
28</v>
      </c>
      <c r="G92" s="30" t="str">
        <f>IFERROR(__xludf.DUMMYFUNCTION("""COMPUTED_VALUE"""),"--")</f>
        <v>--</v>
      </c>
      <c r="H92" s="42" t="str">
        <f>IFERROR(__xludf.DUMMYFUNCTION("""COMPUTED_VALUE"""),"Recipe: Trodain's Top Trends")</f>
        <v>Recipe: Trodain's Top Trends</v>
      </c>
      <c r="I92" s="42" t="str">
        <f>IFERROR(__xludf.DUMMYFUNCTION("""COMPUTED_VALUE"""),"Trodain Bandana: 1
Pep Pop: 1
Kaleidocloth: 1")</f>
        <v>Trodain Bandana: 1
Pep Pop: 1
Kaleidocloth: 1</v>
      </c>
    </row>
    <row r="93">
      <c r="A93" s="52" t="str">
        <f>IFERROR(__xludf.DUMMYFUNCTION("""COMPUTED_VALUE"""),"Helmets")</f>
        <v>Helmets</v>
      </c>
      <c r="B93" s="24"/>
      <c r="C93" s="24"/>
      <c r="D93" s="24"/>
      <c r="E93" s="24"/>
      <c r="F93" s="24"/>
      <c r="G93" s="24"/>
      <c r="H93" s="24"/>
      <c r="I93" s="25"/>
    </row>
    <row r="94">
      <c r="A94" s="54" t="str">
        <f>IFERROR(__xludf.DUMMYFUNCTION("""COMPUTED_VALUE"""),"Iron Helmet")</f>
        <v>Iron Helmet</v>
      </c>
      <c r="B94" s="30" t="str">
        <f>IFERROR(__xludf.DUMMYFUNCTION("""COMPUTED_VALUE"""),"Defence")</f>
        <v>Defence</v>
      </c>
      <c r="C94" s="30">
        <f>IFERROR(__xludf.DUMMYFUNCTION("""COMPUTED_VALUE"""),16.0)</f>
        <v>16</v>
      </c>
      <c r="D94" s="30">
        <f>IFERROR(__xludf.DUMMYFUNCTION("""COMPUTED_VALUE"""),17.0)</f>
        <v>17</v>
      </c>
      <c r="E94" s="30">
        <f>IFERROR(__xludf.DUMMYFUNCTION("""COMPUTED_VALUE"""),18.0)</f>
        <v>18</v>
      </c>
      <c r="F94" s="30">
        <f>IFERROR(__xludf.DUMMYFUNCTION("""COMPUTED_VALUE"""),19.0)</f>
        <v>19</v>
      </c>
      <c r="G94" s="30" t="str">
        <f>IFERROR(__xludf.DUMMYFUNCTION("""COMPUTED_VALUE"""),"--")</f>
        <v>--</v>
      </c>
      <c r="H94" s="42" t="str">
        <f>IFERROR(__xludf.DUMMYFUNCTION("""COMPUTED_VALUE"""),"Gondolia, Octagonia: 1100
Recipe: I &lt;3 Iron Armour")</f>
        <v>Gondolia, Octagonia: 1100
Recipe: I &lt;3 Iron Armour</v>
      </c>
      <c r="I94" s="42" t="str">
        <f>IFERROR(__xludf.DUMMYFUNCTION("""COMPUTED_VALUE"""),"Iron Ore: 2
Glass Frit: 2")</f>
        <v>Iron Ore: 2
Glass Frit: 2</v>
      </c>
    </row>
    <row r="95">
      <c r="A95" s="53" t="str">
        <f>IFERROR(__xludf.DUMMYFUNCTION("""COMPUTED_VALUE"""),"Iron Mask")</f>
        <v>Iron Mask</v>
      </c>
      <c r="B95" s="31" t="str">
        <f>IFERROR(__xludf.DUMMYFUNCTION("""COMPUTED_VALUE"""),"Defence")</f>
        <v>Defence</v>
      </c>
      <c r="C95" s="31">
        <f>IFERROR(__xludf.DUMMYFUNCTION("""COMPUTED_VALUE"""),25.0)</f>
        <v>25</v>
      </c>
      <c r="D95" s="31">
        <f>IFERROR(__xludf.DUMMYFUNCTION("""COMPUTED_VALUE"""),26.0)</f>
        <v>26</v>
      </c>
      <c r="E95" s="31">
        <f>IFERROR(__xludf.DUMMYFUNCTION("""COMPUTED_VALUE"""),28.0)</f>
        <v>28</v>
      </c>
      <c r="F95" s="31">
        <f>IFERROR(__xludf.DUMMYFUNCTION("""COMPUTED_VALUE"""),30.0)</f>
        <v>30</v>
      </c>
      <c r="G95" s="31" t="str">
        <f>IFERROR(__xludf.DUMMYFUNCTION("""COMPUTED_VALUE"""),"--")</f>
        <v>--</v>
      </c>
      <c r="H95" s="41" t="str">
        <f>IFERROR(__xludf.DUMMYFUNCTION("""COMPUTED_VALUE"""),"Puerto Valor, Lonalulu, Phnom Nonh: 3500
Rare: Midnight Horknight")</f>
        <v>Puerto Valor, Lonalulu, Phnom Nonh: 3500
Rare: Midnight Horknight</v>
      </c>
      <c r="I95" s="41"/>
    </row>
    <row r="96">
      <c r="A96" s="54" t="str">
        <f>IFERROR(__xludf.DUMMYFUNCTION("""COMPUTED_VALUE"""),"Steel Helmet")</f>
        <v>Steel Helmet</v>
      </c>
      <c r="B96" s="30" t="str">
        <f>IFERROR(__xludf.DUMMYFUNCTION("""COMPUTED_VALUE"""),"Defence")</f>
        <v>Defence</v>
      </c>
      <c r="C96" s="30">
        <f>IFERROR(__xludf.DUMMYFUNCTION("""COMPUTED_VALUE"""),25.0)</f>
        <v>25</v>
      </c>
      <c r="D96" s="30">
        <f>IFERROR(__xludf.DUMMYFUNCTION("""COMPUTED_VALUE"""),26.0)</f>
        <v>26</v>
      </c>
      <c r="E96" s="30">
        <f>IFERROR(__xludf.DUMMYFUNCTION("""COMPUTED_VALUE"""),28.0)</f>
        <v>28</v>
      </c>
      <c r="F96" s="30">
        <f>IFERROR(__xludf.DUMMYFUNCTION("""COMPUTED_VALUE"""),30.0)</f>
        <v>30</v>
      </c>
      <c r="G96" s="30" t="str">
        <f>IFERROR(__xludf.DUMMYFUNCTION("""COMPUTED_VALUE"""),"--")</f>
        <v>--</v>
      </c>
      <c r="H96" s="42" t="str">
        <f>IFERROR(__xludf.DUMMYFUNCTION("""COMPUTED_VALUE"""),"Recipe: Smithing with Steel
Rare: Deadnaut")</f>
        <v>Recipe: Smithing with Steel
Rare: Deadnaut</v>
      </c>
      <c r="I96" s="42" t="str">
        <f>IFERROR(__xludf.DUMMYFUNCTION("""COMPUTED_VALUE"""),"Silver Ore: 3
Iron: 2
Royal Soil: 2")</f>
        <v>Silver Ore: 3
Iron: 2
Royal Soil: 2</v>
      </c>
    </row>
    <row r="97">
      <c r="A97" s="56" t="str">
        <f>IFERROR(__xludf.DUMMYFUNCTION("""COMPUTED_VALUE"""),"Drasilian Helm")</f>
        <v>Drasilian Helm</v>
      </c>
      <c r="B97" s="31" t="str">
        <f>IFERROR(__xludf.DUMMYFUNCTION("""COMPUTED_VALUE"""),"Defence
Max MP
Charm")</f>
        <v>Defence
Max MP
Charm</v>
      </c>
      <c r="C97" s="31" t="str">
        <f>IFERROR(__xludf.DUMMYFUNCTION("""COMPUTED_VALUE"""),"28
9
36")</f>
        <v>28
9
36</v>
      </c>
      <c r="D97" s="31" t="str">
        <f>IFERROR(__xludf.DUMMYFUNCTION("""COMPUTED_VALUE"""),"29
10
39")</f>
        <v>29
10
39</v>
      </c>
      <c r="E97" s="31" t="str">
        <f>IFERROR(__xludf.DUMMYFUNCTION("""COMPUTED_VALUE"""),"30
11
42")</f>
        <v>30
11
42</v>
      </c>
      <c r="F97" s="31" t="str">
        <f>IFERROR(__xludf.DUMMYFUNCTION("""COMPUTED_VALUE"""),"32
12
45")</f>
        <v>32
12
45</v>
      </c>
      <c r="G97" s="31" t="str">
        <f>IFERROR(__xludf.DUMMYFUNCTION("""COMPUTED_VALUE"""),"--")</f>
        <v>--</v>
      </c>
      <c r="H97" s="41" t="str">
        <f>IFERROR(__xludf.DUMMYFUNCTION("""COMPUTED_VALUE"""),"Recipe: Dress Like a Drasilian")</f>
        <v>Recipe: Dress Like a Drasilian</v>
      </c>
      <c r="I97" s="41" t="str">
        <f>IFERROR(__xludf.DUMMYFUNCTION("""COMPUTED_VALUE"""),"Platinum Ore: 1
Gold Ore: 1
Glass Frit: 2")</f>
        <v>Platinum Ore: 1
Gold Ore: 1
Glass Frit: 2</v>
      </c>
    </row>
    <row r="98">
      <c r="A98" s="55" t="str">
        <f>IFERROR(__xludf.DUMMYFUNCTION("""COMPUTED_VALUE"""),"Crown of Dundrasil")</f>
        <v>Crown of Dundrasil</v>
      </c>
      <c r="B98" s="30" t="str">
        <f>IFERROR(__xludf.DUMMYFUNCTION("""COMPUTED_VALUE"""),"Defence
Magic Might
Magic Mend
Charm")</f>
        <v>Defence
Magic Might
Magic Mend
Charm</v>
      </c>
      <c r="C98" s="30" t="str">
        <f>IFERROR(__xludf.DUMMYFUNCTION("""COMPUTED_VALUE"""),"28
15
15
20")</f>
        <v>28
15
15
20</v>
      </c>
      <c r="D98" s="30" t="str">
        <f>IFERROR(__xludf.DUMMYFUNCTION("""COMPUTED_VALUE"""),"19
16
16
21")</f>
        <v>19
16
16
21</v>
      </c>
      <c r="E98" s="30" t="str">
        <f>IFERROR(__xludf.DUMMYFUNCTION("""COMPUTED_VALUE"""),"30
18
18
23")</f>
        <v>30
18
18
23</v>
      </c>
      <c r="F98" s="30" t="str">
        <f>IFERROR(__xludf.DUMMYFUNCTION("""COMPUTED_VALUE"""),"32
20
20
25")</f>
        <v>32
20
20
25</v>
      </c>
      <c r="G98" s="30" t="str">
        <f>IFERROR(__xludf.DUMMYFUNCTION("""COMPUTED_VALUE"""),"Post-Battle MP Restoration (1/1/2/3)")</f>
        <v>Post-Battle MP Restoration (1/1/2/3)</v>
      </c>
      <c r="H98" s="42" t="str">
        <f>IFERROR(__xludf.DUMMYFUNCTION("""COMPUTED_VALUE"""),"Recipe: Kit Fit for a King")</f>
        <v>Recipe: Kit Fit for a King</v>
      </c>
      <c r="I98" s="42" t="str">
        <f>IFERROR(__xludf.DUMMYFUNCTION("""COMPUTED_VALUE"""),"Gold Ore: 3
Platinum Ore: 1
Red Eye: 1")</f>
        <v>Gold Ore: 3
Platinum Ore: 1
Red Eye: 1</v>
      </c>
    </row>
    <row r="99">
      <c r="A99" s="53" t="str">
        <f>IFERROR(__xludf.DUMMYFUNCTION("""COMPUTED_VALUE"""),"Iron Headgear")</f>
        <v>Iron Headgear</v>
      </c>
      <c r="B99" s="31" t="str">
        <f>IFERROR(__xludf.DUMMYFUNCTION("""COMPUTED_VALUE"""),"Defence")</f>
        <v>Defence</v>
      </c>
      <c r="C99" s="31">
        <f>IFERROR(__xludf.DUMMYFUNCTION("""COMPUTED_VALUE"""),32.0)</f>
        <v>32</v>
      </c>
      <c r="D99" s="31">
        <f>IFERROR(__xludf.DUMMYFUNCTION("""COMPUTED_VALUE"""),33.0)</f>
        <v>33</v>
      </c>
      <c r="E99" s="31">
        <f>IFERROR(__xludf.DUMMYFUNCTION("""COMPUTED_VALUE"""),34.0)</f>
        <v>34</v>
      </c>
      <c r="F99" s="31">
        <f>IFERROR(__xludf.DUMMYFUNCTION("""COMPUTED_VALUE"""),36.0)</f>
        <v>36</v>
      </c>
      <c r="G99" s="31" t="str">
        <f>IFERROR(__xludf.DUMMYFUNCTION("""COMPUTED_VALUE"""),"--")</f>
        <v>--</v>
      </c>
      <c r="H99" s="41" t="str">
        <f>IFERROR(__xludf.DUMMYFUNCTION("""COMPUTED_VALUE"""),"Puerto Valor, Champs Sauvage, Angri-La: 5500
Rare: Skeleton Swordsman")</f>
        <v>Puerto Valor, Champs Sauvage, Angri-La: 5500
Rare: Skeleton Swordsman</v>
      </c>
      <c r="I99" s="41"/>
    </row>
    <row r="100">
      <c r="A100" s="54" t="str">
        <f>IFERROR(__xludf.DUMMYFUNCTION("""COMPUTED_VALUE"""),"Warrior's Helm")</f>
        <v>Warrior's Helm</v>
      </c>
      <c r="B100" s="30" t="str">
        <f>IFERROR(__xludf.DUMMYFUNCTION("""COMPUTED_VALUE"""),"Defence")</f>
        <v>Defence</v>
      </c>
      <c r="C100" s="30">
        <f>IFERROR(__xludf.DUMMYFUNCTION("""COMPUTED_VALUE"""),35.0)</f>
        <v>35</v>
      </c>
      <c r="D100" s="30">
        <f>IFERROR(__xludf.DUMMYFUNCTION("""COMPUTED_VALUE"""),36.0)</f>
        <v>36</v>
      </c>
      <c r="E100" s="30">
        <f>IFERROR(__xludf.DUMMYFUNCTION("""COMPUTED_VALUE"""),38.0)</f>
        <v>38</v>
      </c>
      <c r="F100" s="30">
        <f>IFERROR(__xludf.DUMMYFUNCTION("""COMPUTED_VALUE"""),40.0)</f>
        <v>40</v>
      </c>
      <c r="G100" s="30" t="str">
        <f>IFERROR(__xludf.DUMMYFUNCTION("""COMPUTED_VALUE"""),"--")</f>
        <v>--</v>
      </c>
      <c r="H100" s="42" t="str">
        <f>IFERROR(__xludf.DUMMYFUNCTION("""COMPUTED_VALUE"""),"Octagonia, Phnom Nonh: 6500")</f>
        <v>Octagonia, Phnom Nonh: 6500</v>
      </c>
      <c r="I100" s="42"/>
    </row>
    <row r="101">
      <c r="A101" s="53" t="str">
        <f>IFERROR(__xludf.DUMMYFUNCTION("""COMPUTED_VALUE"""),"Platinum Headgear")</f>
        <v>Platinum Headgear</v>
      </c>
      <c r="B101" s="31" t="str">
        <f>IFERROR(__xludf.DUMMYFUNCTION("""COMPUTED_VALUE"""),"Defence
Charm")</f>
        <v>Defence
Charm</v>
      </c>
      <c r="C101" s="31" t="str">
        <f>IFERROR(__xludf.DUMMYFUNCTION("""COMPUTED_VALUE"""),"36
51")</f>
        <v>36
51</v>
      </c>
      <c r="D101" s="31" t="str">
        <f>IFERROR(__xludf.DUMMYFUNCTION("""COMPUTED_VALUE"""),"37
53")</f>
        <v>37
53</v>
      </c>
      <c r="E101" s="31" t="str">
        <f>IFERROR(__xludf.DUMMYFUNCTION("""COMPUTED_VALUE"""),"38
56")</f>
        <v>38
56</v>
      </c>
      <c r="F101" s="31" t="str">
        <f>IFERROR(__xludf.DUMMYFUNCTION("""COMPUTED_VALUE"""),"40
59")</f>
        <v>40
59</v>
      </c>
      <c r="G101" s="31" t="str">
        <f>IFERROR(__xludf.DUMMYFUNCTION("""COMPUTED_VALUE"""),"--")</f>
        <v>--</v>
      </c>
      <c r="H101" s="41" t="str">
        <f>IFERROR(__xludf.DUMMYFUNCTION("""COMPUTED_VALUE"""),"Recipe: Platinum Plating
Rare: Chasmonaut, Metal Dragon Slime")</f>
        <v>Recipe: Platinum Plating
Rare: Chasmonaut, Metal Dragon Slime</v>
      </c>
      <c r="I101" s="41" t="str">
        <f>IFERROR(__xludf.DUMMYFUNCTION("""COMPUTED_VALUE"""),"Platinum Ore: 2
Magic Beast Horn: 1
Maiden's Favour: 2")</f>
        <v>Platinum Ore: 2
Magic Beast Horn: 1
Maiden's Favour: 2</v>
      </c>
    </row>
    <row r="102">
      <c r="A102" s="54" t="str">
        <f>IFERROR(__xludf.DUMMYFUNCTION("""COMPUTED_VALUE"""),"Hades' Helm")</f>
        <v>Hades' Helm</v>
      </c>
      <c r="B102" s="30" t="str">
        <f>IFERROR(__xludf.DUMMYFUNCTION("""COMPUTED_VALUE"""),"Defence
Charm")</f>
        <v>Defence
Charm</v>
      </c>
      <c r="C102" s="30" t="str">
        <f>IFERROR(__xludf.DUMMYFUNCTION("""COMPUTED_VALUE"""),"37
53")</f>
        <v>37
53</v>
      </c>
      <c r="D102" s="30" t="str">
        <f>IFERROR(__xludf.DUMMYFUNCTION("""COMPUTED_VALUE"""),"38
56")</f>
        <v>38
56</v>
      </c>
      <c r="E102" s="30" t="str">
        <f>IFERROR(__xludf.DUMMYFUNCTION("""COMPUTED_VALUE"""),"40
59")</f>
        <v>40
59</v>
      </c>
      <c r="F102" s="30" t="str">
        <f>IFERROR(__xludf.DUMMYFUNCTION("""COMPUTED_VALUE"""),"42
62")</f>
        <v>42
62</v>
      </c>
      <c r="G102" s="30" t="str">
        <f>IFERROR(__xludf.DUMMYFUNCTION("""COMPUTED_VALUE"""),"Curse Protection (25/50/75/100%)")</f>
        <v>Curse Protection (25/50/75/100%)</v>
      </c>
      <c r="H102" s="42" t="str">
        <f>IFERROR(__xludf.DUMMYFUNCTION("""COMPUTED_VALUE"""),"Quest: A Fragrant Fille
Rare: Master Commander")</f>
        <v>Quest: A Fragrant Fille
Rare: Master Commander</v>
      </c>
      <c r="I102" s="42"/>
    </row>
    <row r="103">
      <c r="A103" s="53" t="str">
        <f>IFERROR(__xludf.DUMMYFUNCTION("""COMPUTED_VALUE"""),"Thinking Cap")</f>
        <v>Thinking Cap</v>
      </c>
      <c r="B103" s="31" t="str">
        <f>IFERROR(__xludf.DUMMYFUNCTION("""COMPUTED_VALUE"""),"Defence
Magic Might
Magic Mend")</f>
        <v>Defence
Magic Might
Magic Mend</v>
      </c>
      <c r="C103" s="31" t="str">
        <f>IFERROR(__xludf.DUMMYFUNCTION("""COMPUTED_VALUE"""),"38
24
24")</f>
        <v>38
24
24</v>
      </c>
      <c r="D103" s="31" t="str">
        <f>IFERROR(__xludf.DUMMYFUNCTION("""COMPUTED_VALUE"""),"39
25
25")</f>
        <v>39
25
25</v>
      </c>
      <c r="E103" s="31" t="str">
        <f>IFERROR(__xludf.DUMMYFUNCTION("""COMPUTED_VALUE"""),"41
27
27")</f>
        <v>41
27
27</v>
      </c>
      <c r="F103" s="31" t="str">
        <f>IFERROR(__xludf.DUMMYFUNCTION("""COMPUTED_VALUE"""),"43
29
29")</f>
        <v>43
29
29</v>
      </c>
      <c r="G103" s="31" t="str">
        <f>IFERROR(__xludf.DUMMYFUNCTION("""COMPUTED_VALUE"""),"--")</f>
        <v>--</v>
      </c>
      <c r="H103" s="41" t="str">
        <f>IFERROR(__xludf.DUMMYFUNCTION("""COMPUTED_VALUE"""),"Recipe: Fine Fashions for Philosophers")</f>
        <v>Recipe: Fine Fashions for Philosophers</v>
      </c>
      <c r="I103" s="41" t="str">
        <f>IFERROR(__xludf.DUMMYFUNCTION("""COMPUTED_VALUE"""),"Gold Ore: 3
Platinum Ore: 2
Equable Emerald: 2
Thinkincense: 2")</f>
        <v>Gold Ore: 3
Platinum Ore: 2
Equable Emerald: 2
Thinkincense: 2</v>
      </c>
    </row>
    <row r="104">
      <c r="A104" s="54" t="str">
        <f>IFERROR(__xludf.DUMMYFUNCTION("""COMPUTED_VALUE"""),"Mythril Helm")</f>
        <v>Mythril Helm</v>
      </c>
      <c r="B104" s="30" t="str">
        <f>IFERROR(__xludf.DUMMYFUNCTION("""COMPUTED_VALUE"""),"Defence")</f>
        <v>Defence</v>
      </c>
      <c r="C104" s="30">
        <f>IFERROR(__xludf.DUMMYFUNCTION("""COMPUTED_VALUE"""),38.0)</f>
        <v>38</v>
      </c>
      <c r="D104" s="30">
        <f>IFERROR(__xludf.DUMMYFUNCTION("""COMPUTED_VALUE"""),39.0)</f>
        <v>39</v>
      </c>
      <c r="E104" s="30">
        <f>IFERROR(__xludf.DUMMYFUNCTION("""COMPUTED_VALUE"""),41.0)</f>
        <v>41</v>
      </c>
      <c r="F104" s="30">
        <f>IFERROR(__xludf.DUMMYFUNCTION("""COMPUTED_VALUE"""),43.0)</f>
        <v>43</v>
      </c>
      <c r="G104" s="30" t="str">
        <f>IFERROR(__xludf.DUMMYFUNCTION("""COMPUTED_VALUE"""),"--")</f>
        <v>--</v>
      </c>
      <c r="H104" s="42" t="str">
        <f>IFERROR(__xludf.DUMMYFUNCTION("""COMPUTED_VALUE"""),"Lonalulu, Sniflheim: 13300
Recipe: Making the Most of Mythril")</f>
        <v>Lonalulu, Sniflheim: 13300
Recipe: Making the Most of Mythril</v>
      </c>
      <c r="I104" s="42" t="str">
        <f>IFERROR(__xludf.DUMMYFUNCTION("""COMPUTED_VALUE"""),"Mythril Ore: 2
Dragon Horn: 2
Glass Frit: 2
Yellow Eye: 1")</f>
        <v>Mythril Ore: 2
Dragon Horn: 2
Glass Frit: 2
Yellow Eye: 1</v>
      </c>
    </row>
    <row r="105">
      <c r="A105" s="53" t="str">
        <f>IFERROR(__xludf.DUMMYFUNCTION("""COMPUTED_VALUE"""),"Metal Slime Helm")</f>
        <v>Metal Slime Helm</v>
      </c>
      <c r="B105" s="31" t="str">
        <f>IFERROR(__xludf.DUMMYFUNCTION("""COMPUTED_VALUE"""),"Defence")</f>
        <v>Defence</v>
      </c>
      <c r="C105" s="31">
        <f>IFERROR(__xludf.DUMMYFUNCTION("""COMPUTED_VALUE"""),39.0)</f>
        <v>39</v>
      </c>
      <c r="D105" s="31">
        <f>IFERROR(__xludf.DUMMYFUNCTION("""COMPUTED_VALUE"""),41.0)</f>
        <v>41</v>
      </c>
      <c r="E105" s="31">
        <f>IFERROR(__xludf.DUMMYFUNCTION("""COMPUTED_VALUE"""),43.0)</f>
        <v>43</v>
      </c>
      <c r="F105" s="31">
        <f>IFERROR(__xludf.DUMMYFUNCTION("""COMPUTED_VALUE"""),45.0)</f>
        <v>45</v>
      </c>
      <c r="G105" s="31" t="str">
        <f>IFERROR(__xludf.DUMMYFUNCTION("""COMPUTED_VALUE"""),"Sleep Protection (15%)
Insta-Death Protection (15%)
Spell-Sealing Protection (15%)")</f>
        <v>Sleep Protection (15%)
Insta-Death Protection (15%)
Spell-Sealing Protection (15%)</v>
      </c>
      <c r="H105" s="41" t="str">
        <f>IFERROR(__xludf.DUMMYFUNCTION("""COMPUTED_VALUE"""),"Horse Race: Gold Cup (Easy)
Recipe: Things to Do with Metal Goo")</f>
        <v>Horse Race: Gold Cup (Easy)
Recipe: Things to Do with Metal Goo</v>
      </c>
      <c r="I105" s="41" t="str">
        <f>IFERROR(__xludf.DUMMYFUNCTION("""COMPUTED_VALUE"""),"Molten Globules: 1
Slimedrop: 1
Mythril Ore: 2
Mirrostone: 2")</f>
        <v>Molten Globules: 1
Slimedrop: 1
Mythril Ore: 2
Mirrostone: 2</v>
      </c>
    </row>
    <row r="106">
      <c r="A106" s="54" t="str">
        <f>IFERROR(__xludf.DUMMYFUNCTION("""COMPUTED_VALUE"""),"Raging Bull Helm")</f>
        <v>Raging Bull Helm</v>
      </c>
      <c r="B106" s="30" t="str">
        <f>IFERROR(__xludf.DUMMYFUNCTION("""COMPUTED_VALUE"""),"Defence")</f>
        <v>Defence</v>
      </c>
      <c r="C106" s="30">
        <f>IFERROR(__xludf.DUMMYFUNCTION("""COMPUTED_VALUE"""),42.0)</f>
        <v>42</v>
      </c>
      <c r="D106" s="30">
        <f>IFERROR(__xludf.DUMMYFUNCTION("""COMPUTED_VALUE"""),43.0)</f>
        <v>43</v>
      </c>
      <c r="E106" s="30">
        <f>IFERROR(__xludf.DUMMYFUNCTION("""COMPUTED_VALUE"""),45.0)</f>
        <v>45</v>
      </c>
      <c r="F106" s="30">
        <f>IFERROR(__xludf.DUMMYFUNCTION("""COMPUTED_VALUE"""),47.0)</f>
        <v>47</v>
      </c>
      <c r="G106" s="30" t="str">
        <f>IFERROR(__xludf.DUMMYFUNCTION("""COMPUTED_VALUE"""),"--")</f>
        <v>--</v>
      </c>
      <c r="H106" s="42" t="str">
        <f>IFERROR(__xludf.DUMMYFUNCTION("""COMPUTED_VALUE"""),"Hotto, Gallopolis, Gondolia, Arboria: 14500")</f>
        <v>Hotto, Gallopolis, Gondolia, Arboria: 14500</v>
      </c>
      <c r="I106" s="42"/>
    </row>
    <row r="107">
      <c r="A107" s="53" t="str">
        <f>IFERROR(__xludf.DUMMYFUNCTION("""COMPUTED_VALUE"""),"Great Helm")</f>
        <v>Great Helm</v>
      </c>
      <c r="B107" s="31" t="str">
        <f>IFERROR(__xludf.DUMMYFUNCTION("""COMPUTED_VALUE"""),"Defence")</f>
        <v>Defence</v>
      </c>
      <c r="C107" s="31">
        <f>IFERROR(__xludf.DUMMYFUNCTION("""COMPUTED_VALUE"""),46.0)</f>
        <v>46</v>
      </c>
      <c r="D107" s="31">
        <f>IFERROR(__xludf.DUMMYFUNCTION("""COMPUTED_VALUE"""),48.0)</f>
        <v>48</v>
      </c>
      <c r="E107" s="31">
        <f>IFERROR(__xludf.DUMMYFUNCTION("""COMPUTED_VALUE"""),50.0)</f>
        <v>50</v>
      </c>
      <c r="F107" s="31">
        <f>IFERROR(__xludf.DUMMYFUNCTION("""COMPUTED_VALUE"""),52.0)</f>
        <v>52</v>
      </c>
      <c r="G107" s="31" t="str">
        <f>IFERROR(__xludf.DUMMYFUNCTION("""COMPUTED_VALUE"""),"--")</f>
        <v>--</v>
      </c>
      <c r="H107" s="41" t="str">
        <f>IFERROR(__xludf.DUMMYFUNCTION("""COMPUTED_VALUE"""),"Heliodor: 16000
Rare: Jerkules")</f>
        <v>Heliodor: 16000
Rare: Jerkules</v>
      </c>
      <c r="I107" s="41"/>
    </row>
    <row r="108">
      <c r="A108" s="55" t="str">
        <f>IFERROR(__xludf.DUMMYFUNCTION("""COMPUTED_VALUE"""),"Goddess's Tiara")</f>
        <v>Goddess's Tiara</v>
      </c>
      <c r="B108" s="30" t="str">
        <f>IFERROR(__xludf.DUMMYFUNCTION("""COMPUTED_VALUE"""),"Defence
Magic Mend
Max MP
Charm")</f>
        <v>Defence
Magic Mend
Max MP
Charm</v>
      </c>
      <c r="C108" s="30" t="str">
        <f>IFERROR(__xludf.DUMMYFUNCTION("""COMPUTED_VALUE"""),"45
30
15
68")</f>
        <v>45
30
15
68</v>
      </c>
      <c r="D108" s="30" t="str">
        <f>IFERROR(__xludf.DUMMYFUNCTION("""COMPUTED_VALUE"""),"46
31
16
70")</f>
        <v>46
31
16
70</v>
      </c>
      <c r="E108" s="30" t="str">
        <f>IFERROR(__xludf.DUMMYFUNCTION("""COMPUTED_VALUE"""),"48
33
17
73")</f>
        <v>48
33
17
73</v>
      </c>
      <c r="F108" s="30" t="str">
        <f>IFERROR(__xludf.DUMMYFUNCTION("""COMPUTED_VALUE"""),"50
35
19
76")</f>
        <v>50
35
19
76</v>
      </c>
      <c r="G108" s="30" t="str">
        <f>IFERROR(__xludf.DUMMYFUNCTION("""COMPUTED_VALUE"""),"Insta-Death Protection (50%)")</f>
        <v>Insta-Death Protection (50%)</v>
      </c>
      <c r="H108" s="42" t="str">
        <f>IFERROR(__xludf.DUMMYFUNCTION("""COMPUTED_VALUE"""),"Recipe: Sacred Styles for Saintly Ladies")</f>
        <v>Recipe: Sacred Styles for Saintly Ladies</v>
      </c>
      <c r="I108" s="42" t="str">
        <f>IFERROR(__xludf.DUMMYFUNCTION("""COMPUTED_VALUE"""),"Molten Globules: 1
Savvy Sapphire: 2
Brighten Rock: 2
Sparkly Sap: 1")</f>
        <v>Molten Globules: 1
Savvy Sapphire: 2
Brighten Rock: 2
Sparkly Sap: 1</v>
      </c>
    </row>
    <row r="109">
      <c r="A109" s="56" t="str">
        <f>IFERROR(__xludf.DUMMYFUNCTION("""COMPUTED_VALUE"""),"Sun Crown")</f>
        <v>Sun Crown</v>
      </c>
      <c r="B109" s="31" t="str">
        <f>IFERROR(__xludf.DUMMYFUNCTION("""COMPUTED_VALUE"""),"Defence
Magic Might
Magic Mend
Charm")</f>
        <v>Defence
Magic Might
Magic Mend
Charm</v>
      </c>
      <c r="C109" s="31" t="str">
        <f>IFERROR(__xludf.DUMMYFUNCTION("""COMPUTED_VALUE"""),"45
30
30
37")</f>
        <v>45
30
30
37</v>
      </c>
      <c r="D109" s="31" t="str">
        <f>IFERROR(__xludf.DUMMYFUNCTION("""COMPUTED_VALUE"""),"46
31
31
38")</f>
        <v>46
31
31
38</v>
      </c>
      <c r="E109" s="31" t="str">
        <f>IFERROR(__xludf.DUMMYFUNCTION("""COMPUTED_VALUE"""),"48
33
33
40")</f>
        <v>48
33
33
40</v>
      </c>
      <c r="F109" s="31" t="str">
        <f>IFERROR(__xludf.DUMMYFUNCTION("""COMPUTED_VALUE"""),"50
35
35
42")</f>
        <v>50
35
35
42</v>
      </c>
      <c r="G109" s="31" t="str">
        <f>IFERROR(__xludf.DUMMYFUNCTION("""COMPUTED_VALUE"""),"Sleep Protection (50%)
Confusion Protection (50%)")</f>
        <v>Sleep Protection (50%)
Confusion Protection (50%)</v>
      </c>
      <c r="H109" s="41" t="str">
        <f>IFERROR(__xludf.DUMMYFUNCTION("""COMPUTED_VALUE"""),"Recipe: Corking Kit for Kings")</f>
        <v>Recipe: Corking Kit for Kings</v>
      </c>
      <c r="I109" s="41" t="str">
        <f>IFERROR(__xludf.DUMMYFUNCTION("""COMPUTED_VALUE"""),"Slime Crown: 1
Fire Ball: 1
Equable Emerald: 1
Colourful Cocoon: 1")</f>
        <v>Slime Crown: 1
Fire Ball: 1
Equable Emerald: 1
Colourful Cocoon: 1</v>
      </c>
    </row>
    <row r="110">
      <c r="A110" s="59" t="str">
        <f>IFERROR(__xludf.DUMMYFUNCTION("""COMPUTED_VALUE"""),"Warrior Princess's Headdress")</f>
        <v>Warrior Princess's Headdress</v>
      </c>
      <c r="B110" s="30" t="str">
        <f>IFERROR(__xludf.DUMMYFUNCTION("""COMPUTED_VALUE"""),"Defence
Critical %
Charm")</f>
        <v>Defence
Critical %
Charm</v>
      </c>
      <c r="C110" s="30" t="str">
        <f>IFERROR(__xludf.DUMMYFUNCTION("""COMPUTED_VALUE"""),"45
1
68")</f>
        <v>45
1
68</v>
      </c>
      <c r="D110" s="30" t="str">
        <f>IFERROR(__xludf.DUMMYFUNCTION("""COMPUTED_VALUE"""),"46
1
70")</f>
        <v>46
1
70</v>
      </c>
      <c r="E110" s="30" t="str">
        <f>IFERROR(__xludf.DUMMYFUNCTION("""COMPUTED_VALUE"""),"48
1
73")</f>
        <v>48
1
73</v>
      </c>
      <c r="F110" s="30" t="str">
        <f>IFERROR(__xludf.DUMMYFUNCTION("""COMPUTED_VALUE"""),"50
2
76")</f>
        <v>50
2
76</v>
      </c>
      <c r="G110" s="30" t="str">
        <f>IFERROR(__xludf.DUMMYFUNCTION("""COMPUTED_VALUE"""),"--")</f>
        <v>--</v>
      </c>
      <c r="H110" s="42" t="str">
        <f>IFERROR(__xludf.DUMMYFUNCTION("""COMPUTED_VALUE"""),"Recipe: Pride of the Valkyries")</f>
        <v>Recipe: Pride of the Valkyries</v>
      </c>
      <c r="I110" s="42" t="str">
        <f>IFERROR(__xludf.DUMMYFUNCTION("""COMPUTED_VALUE"""),"Gold Bar: 1
Savvy Sapphire: 2
Brighten Rock: 2
Glass Frit: 2")</f>
        <v>Gold Bar: 1
Savvy Sapphire: 2
Brighten Rock: 2
Glass Frit: 2</v>
      </c>
    </row>
    <row r="111">
      <c r="A111" s="53" t="str">
        <f>IFERROR(__xludf.DUMMYFUNCTION("""COMPUTED_VALUE"""),"Skull Helm")</f>
        <v>Skull Helm</v>
      </c>
      <c r="B111" s="31" t="str">
        <f>IFERROR(__xludf.DUMMYFUNCTION("""COMPUTED_VALUE"""),"Defence")</f>
        <v>Defence</v>
      </c>
      <c r="C111" s="31">
        <f>IFERROR(__xludf.DUMMYFUNCTION("""COMPUTED_VALUE"""),49.0)</f>
        <v>49</v>
      </c>
      <c r="D111" s="31">
        <f>IFERROR(__xludf.DUMMYFUNCTION("""COMPUTED_VALUE"""),51.0)</f>
        <v>51</v>
      </c>
      <c r="E111" s="31">
        <f>IFERROR(__xludf.DUMMYFUNCTION("""COMPUTED_VALUE"""),53.0)</f>
        <v>53</v>
      </c>
      <c r="F111" s="31">
        <f>IFERROR(__xludf.DUMMYFUNCTION("""COMPUTED_VALUE"""),55.0)</f>
        <v>55</v>
      </c>
      <c r="G111" s="31" t="str">
        <f>IFERROR(__xludf.DUMMYFUNCTION("""COMPUTED_VALUE"""),"Dark Damage Reduction (25/30/40/50%)
Curse Protection (25/30/40/50%)")</f>
        <v>Dark Damage Reduction (25/30/40/50%)
Curse Protection (25/30/40/50%)</v>
      </c>
      <c r="H111" s="41" t="str">
        <f>IFERROR(__xludf.DUMMYFUNCTION("""COMPUTED_VALUE"""),"Ultimate Key: Heliodor Dungeon
Rare: Calasmonaut")</f>
        <v>Ultimate Key: Heliodor Dungeon
Rare: Calasmonaut</v>
      </c>
      <c r="I111" s="41"/>
    </row>
    <row r="112">
      <c r="A112" s="54" t="str">
        <f>IFERROR(__xludf.DUMMYFUNCTION("""COMPUTED_VALUE"""),"Liquid Metal Helm")</f>
        <v>Liquid Metal Helm</v>
      </c>
      <c r="B112" s="30" t="str">
        <f>IFERROR(__xludf.DUMMYFUNCTION("""COMPUTED_VALUE"""),"Defence")</f>
        <v>Defence</v>
      </c>
      <c r="C112" s="30">
        <f>IFERROR(__xludf.DUMMYFUNCTION("""COMPUTED_VALUE"""),49.0)</f>
        <v>49</v>
      </c>
      <c r="D112" s="30">
        <f>IFERROR(__xludf.DUMMYFUNCTION("""COMPUTED_VALUE"""),51.0)</f>
        <v>51</v>
      </c>
      <c r="E112" s="30">
        <f>IFERROR(__xludf.DUMMYFUNCTION("""COMPUTED_VALUE"""),53.0)</f>
        <v>53</v>
      </c>
      <c r="F112" s="30">
        <f>IFERROR(__xludf.DUMMYFUNCTION("""COMPUTED_VALUE"""),57.0)</f>
        <v>57</v>
      </c>
      <c r="G112" s="30" t="str">
        <f>IFERROR(__xludf.DUMMYFUNCTION("""COMPUTED_VALUE"""),"Sleep Protection (20%)
Insta-Death Protection (20%)
Spell-Sealing Protection (20%)")</f>
        <v>Sleep Protection (20%)
Insta-Death Protection (20%)
Spell-Sealing Protection (20%)</v>
      </c>
      <c r="H112" s="42" t="str">
        <f>IFERROR(__xludf.DUMMYFUNCTION("""COMPUTED_VALUE"""),"Hotto: 35000
Puerto Valor Casino: 500000
Rare: Loss Leader")</f>
        <v>Hotto: 35000
Puerto Valor Casino: 500000
Rare: Loss Leader</v>
      </c>
      <c r="I112" s="42" t="str">
        <f>IFERROR(__xludf.DUMMYFUNCTION("""COMPUTED_VALUE"""),"Molten Globules: 1
Goobricant: 1
Dracolyte: 2
Lucida Shard: 2")</f>
        <v>Molten Globules: 1
Goobricant: 1
Dracolyte: 2
Lucida Shard: 2</v>
      </c>
    </row>
    <row r="113">
      <c r="A113" s="56" t="str">
        <f>IFERROR(__xludf.DUMMYFUNCTION("""COMPUTED_VALUE"""),"Irwin's Helm")</f>
        <v>Irwin's Helm</v>
      </c>
      <c r="B113" s="31" t="str">
        <f>IFERROR(__xludf.DUMMYFUNCTION("""COMPUTED_VALUE"""),"Defence
Charm")</f>
        <v>Defence
Charm</v>
      </c>
      <c r="C113" s="31" t="str">
        <f>IFERROR(__xludf.DUMMYFUNCTION("""COMPUTED_VALUE"""),"52
79")</f>
        <v>52
79</v>
      </c>
      <c r="D113" s="31" t="str">
        <f>IFERROR(__xludf.DUMMYFUNCTION("""COMPUTED_VALUE"""),"55
83")</f>
        <v>55
83</v>
      </c>
      <c r="E113" s="31" t="str">
        <f>IFERROR(__xludf.DUMMYFUNCTION("""COMPUTED_VALUE"""),"58
87")</f>
        <v>58
87</v>
      </c>
      <c r="F113" s="31" t="str">
        <f>IFERROR(__xludf.DUMMYFUNCTION("""COMPUTED_VALUE"""),"62
91")</f>
        <v>62
91</v>
      </c>
      <c r="G113" s="31" t="str">
        <f>IFERROR(__xludf.DUMMYFUNCTION("""COMPUTED_VALUE"""),"Elemental Damage Reduction (10/12/15/20%)
Curse Protection (30/35/40/50%)")</f>
        <v>Elemental Damage Reduction (10/12/15/20%)
Curse Protection (30/35/40/50%)</v>
      </c>
      <c r="H113" s="41" t="str">
        <f>IFERROR(__xludf.DUMMYFUNCTION("""COMPUTED_VALUE"""),"Postgame Event: Dundrasil")</f>
        <v>Postgame Event: Dundrasil</v>
      </c>
      <c r="I113" s="41"/>
    </row>
    <row r="114">
      <c r="A114" s="55" t="str">
        <f>IFERROR(__xludf.DUMMYFUNCTION("""COMPUTED_VALUE"""),"Yggdrasil Crown")</f>
        <v>Yggdrasil Crown</v>
      </c>
      <c r="B114" s="30" t="str">
        <f>IFERROR(__xludf.DUMMYFUNCTION("""COMPUTED_VALUE"""),"Defence
Magic Might
Magic Mend
Charm")</f>
        <v>Defence
Magic Might
Magic Mend
Charm</v>
      </c>
      <c r="C114" s="30" t="str">
        <f>IFERROR(__xludf.DUMMYFUNCTION("""COMPUTED_VALUE"""),"51
35
36
44")</f>
        <v>51
35
36
44</v>
      </c>
      <c r="D114" s="30" t="str">
        <f>IFERROR(__xludf.DUMMYFUNCTION("""COMPUTED_VALUE"""),"54
36
37
46")</f>
        <v>54
36
37
46</v>
      </c>
      <c r="E114" s="30" t="str">
        <f>IFERROR(__xludf.DUMMYFUNCTION("""COMPUTED_VALUE"""),"57
37
38
48")</f>
        <v>57
37
38
48</v>
      </c>
      <c r="F114" s="30" t="str">
        <f>IFERROR(__xludf.DUMMYFUNCTION("""COMPUTED_VALUE"""),"61
39
39
50")</f>
        <v>61
39
39
50</v>
      </c>
      <c r="G114" s="30" t="str">
        <f>IFERROR(__xludf.DUMMYFUNCTION("""COMPUTED_VALUE"""),"Post-Battle MP Restoration (3/3/4/5)")</f>
        <v>Post-Battle MP Restoration (3/3/4/5)</v>
      </c>
      <c r="H114" s="42" t="str">
        <f>IFERROR(__xludf.DUMMYFUNCTION("""COMPUTED_VALUE"""),"Recipe: What a Wonderful World Tree")</f>
        <v>Recipe: What a Wonderful World Tree</v>
      </c>
      <c r="I114" s="42" t="str">
        <f>IFERROR(__xludf.DUMMYFUNCTION("""COMPUTED_VALUE"""),"Slime Crown: 1
Royal Ruby: 1
Gold Nuglet: 2
Yggdrasil Leaf: 1")</f>
        <v>Slime Crown: 1
Royal Ruby: 1
Gold Nuglet: 2
Yggdrasil Leaf: 1</v>
      </c>
    </row>
    <row r="115">
      <c r="A115" s="53" t="str">
        <f>IFERROR(__xludf.DUMMYFUNCTION("""COMPUTED_VALUE"""),"Metal King Helm")</f>
        <v>Metal King Helm</v>
      </c>
      <c r="B115" s="31" t="str">
        <f>IFERROR(__xludf.DUMMYFUNCTION("""COMPUTED_VALUE"""),"Defence")</f>
        <v>Defence</v>
      </c>
      <c r="C115" s="31">
        <f>IFERROR(__xludf.DUMMYFUNCTION("""COMPUTED_VALUE"""),63.0)</f>
        <v>63</v>
      </c>
      <c r="D115" s="31">
        <f>IFERROR(__xludf.DUMMYFUNCTION("""COMPUTED_VALUE"""),66.0)</f>
        <v>66</v>
      </c>
      <c r="E115" s="31">
        <f>IFERROR(__xludf.DUMMYFUNCTION("""COMPUTED_VALUE"""),70.0)</f>
        <v>70</v>
      </c>
      <c r="F115" s="31">
        <f>IFERROR(__xludf.DUMMYFUNCTION("""COMPUTED_VALUE"""),74.0)</f>
        <v>74</v>
      </c>
      <c r="G115" s="31" t="str">
        <f>IFERROR(__xludf.DUMMYFUNCTION("""COMPUTED_VALUE"""),"Sleep Protection (20%)
Insta-Death Protection (20%)
Spell-Sealing Protection (20%)")</f>
        <v>Sleep Protection (20%)
Insta-Death Protection (20%)
Spell-Sealing Protection (20%)</v>
      </c>
      <c r="H115" s="41" t="str">
        <f>IFERROR(__xludf.DUMMYFUNCTION("""COMPUTED_VALUE"""),"Octagonia Casino: 1000000
Rare: Red Giant")</f>
        <v>Octagonia Casino: 1000000
Rare: Red Giant</v>
      </c>
      <c r="I115" s="41"/>
    </row>
    <row r="116">
      <c r="A116" s="54" t="str">
        <f>IFERROR(__xludf.DUMMYFUNCTION("""COMPUTED_VALUE"""),"Heavenly Helm")</f>
        <v>Heavenly Helm</v>
      </c>
      <c r="B116" s="30" t="str">
        <f>IFERROR(__xludf.DUMMYFUNCTION("""COMPUTED_VALUE"""),"Defence")</f>
        <v>Defence</v>
      </c>
      <c r="C116" s="30">
        <f>IFERROR(__xludf.DUMMYFUNCTION("""COMPUTED_VALUE"""),62.0)</f>
        <v>62</v>
      </c>
      <c r="D116" s="30">
        <f>IFERROR(__xludf.DUMMYFUNCTION("""COMPUTED_VALUE"""),65.0)</f>
        <v>65</v>
      </c>
      <c r="E116" s="30">
        <f>IFERROR(__xludf.DUMMYFUNCTION("""COMPUTED_VALUE"""),69.0)</f>
        <v>69</v>
      </c>
      <c r="F116" s="30">
        <f>IFERROR(__xludf.DUMMYFUNCTION("""COMPUTED_VALUE"""),73.0)</f>
        <v>73</v>
      </c>
      <c r="G116" s="30" t="str">
        <f>IFERROR(__xludf.DUMMYFUNCTION("""COMPUTED_VALUE"""),"Poison Protection (20%)
Insta-Death Protection (20%)
Bedazzlement Protection (20%)
Confusion Protection (20%)")</f>
        <v>Poison Protection (20%)
Insta-Death Protection (20%)
Bedazzlement Protection (20%)
Confusion Protection (20%)</v>
      </c>
      <c r="H116" s="42" t="str">
        <f>IFERROR(__xludf.DUMMYFUNCTION("""COMPUTED_VALUE"""),"Recipe: The Stuff of Legend
Rare: Badonis")</f>
        <v>Recipe: The Stuff of Legend
Rare: Badonis</v>
      </c>
      <c r="I116" s="42" t="str">
        <f>IFERROR(__xludf.DUMMYFUNCTION("""COMPUTED_VALUE"""),"Dracolyte: 3
Thinkincense: 3
Artful Amethyst: 2
Crimsonite: 1
Saint's Ashes:2")</f>
        <v>Dracolyte: 3
Thinkincense: 3
Artful Amethyst: 2
Crimsonite: 1
Saint's Ashes:2</v>
      </c>
    </row>
    <row r="117">
      <c r="A117" s="56" t="str">
        <f>IFERROR(__xludf.DUMMYFUNCTION("""COMPUTED_VALUE"""),"Sacred Circlet")</f>
        <v>Sacred Circlet</v>
      </c>
      <c r="B117" s="31" t="str">
        <f>IFERROR(__xludf.DUMMYFUNCTION("""COMPUTED_VALUE"""),"Defence
Magic Mend
Max MP
Charm")</f>
        <v>Defence
Magic Mend
Max MP
Charm</v>
      </c>
      <c r="C117" s="31" t="str">
        <f>IFERROR(__xludf.DUMMYFUNCTION("""COMPUTED_VALUE"""),"51
35
20
92")</f>
        <v>51
35
20
92</v>
      </c>
      <c r="D117" s="31" t="str">
        <f>IFERROR(__xludf.DUMMYFUNCTION("""COMPUTED_VALUE"""),"53
36
21
96")</f>
        <v>53
36
21
96</v>
      </c>
      <c r="E117" s="31" t="str">
        <f>IFERROR(__xludf.DUMMYFUNCTION("""COMPUTED_VALUE"""),"56
38
23
100")</f>
        <v>56
38
23
100</v>
      </c>
      <c r="F117" s="31" t="str">
        <f>IFERROR(__xludf.DUMMYFUNCTION("""COMPUTED_VALUE"""),"59
40
25
104")</f>
        <v>59
40
25
104</v>
      </c>
      <c r="G117" s="31" t="str">
        <f>IFERROR(__xludf.DUMMYFUNCTION("""COMPUTED_VALUE"""),"Insta-Death Protection (50/60/80/100%)")</f>
        <v>Insta-Death Protection (50/60/80/100%)</v>
      </c>
      <c r="H117" s="41" t="str">
        <f>IFERROR(__xludf.DUMMYFUNCTION("""COMPUTED_VALUE"""),"Recipe: Gifts from the Goddess")</f>
        <v>Recipe: Gifts from the Goddess</v>
      </c>
      <c r="I117" s="41" t="str">
        <f>IFERROR(__xludf.DUMMYFUNCTION("""COMPUTED_VALUE"""),"Slime Crown: 1
Savvy Sapphire: 2
Brighten Rock: 3
Sainted Soma: 1")</f>
        <v>Slime Crown: 1
Savvy Sapphire: 2
Brighten Rock: 3
Sainted Soma: 1</v>
      </c>
    </row>
    <row r="118">
      <c r="A118" s="55" t="str">
        <f>IFERROR(__xludf.DUMMYFUNCTION("""COMPUTED_VALUE"""),"Minerva's Tiara")</f>
        <v>Minerva's Tiara</v>
      </c>
      <c r="B118" s="30" t="str">
        <f>IFERROR(__xludf.DUMMYFUNCTION("""COMPUTED_VALUE"""),"Defence
Critical %
Charm")</f>
        <v>Defence
Critical %
Charm</v>
      </c>
      <c r="C118" s="30" t="str">
        <f>IFERROR(__xludf.DUMMYFUNCTION("""COMPUTED_VALUE"""),"54
1
92")</f>
        <v>54
1
92</v>
      </c>
      <c r="D118" s="30" t="str">
        <f>IFERROR(__xludf.DUMMYFUNCTION("""COMPUTED_VALUE"""),"57
1
96")</f>
        <v>57
1
96</v>
      </c>
      <c r="E118" s="30" t="str">
        <f>IFERROR(__xludf.DUMMYFUNCTION("""COMPUTED_VALUE"""),"60
1
100")</f>
        <v>60
1
100</v>
      </c>
      <c r="F118" s="30" t="str">
        <f>IFERROR(__xludf.DUMMYFUNCTION("""COMPUTED_VALUE"""),"63
1
104")</f>
        <v>63
1
104</v>
      </c>
      <c r="G118" s="30" t="str">
        <f>IFERROR(__xludf.DUMMYFUNCTION("""COMPUTED_VALUE"""),"--")</f>
        <v>--</v>
      </c>
      <c r="H118" s="42" t="str">
        <f>IFERROR(__xludf.DUMMYFUNCTION("""COMPUTED_VALUE"""),"Recipe: The Way of the War Goddess")</f>
        <v>Recipe: The Way of the War Goddess</v>
      </c>
      <c r="I118" s="42" t="str">
        <f>IFERROR(__xludf.DUMMYFUNCTION("""COMPUTED_VALUE"""),"Orichalcum: 1
Savvy Sapphire: 2
Brighten Rock: 3
Sainted Soma: 1")</f>
        <v>Orichalcum: 1
Savvy Sapphire: 2
Brighten Rock: 3
Sainted Soma: 1</v>
      </c>
    </row>
    <row r="119">
      <c r="A119" s="56" t="str">
        <f>IFERROR(__xludf.DUMMYFUNCTION("""COMPUTED_VALUE"""),"Apollo's Crown")</f>
        <v>Apollo's Crown</v>
      </c>
      <c r="B119" s="31" t="str">
        <f>IFERROR(__xludf.DUMMYFUNCTION("""COMPUTED_VALUE"""),"Defence
Magic Might
Magic Mend
Charm")</f>
        <v>Defence
Magic Might
Magic Mend
Charm</v>
      </c>
      <c r="C119" s="31" t="str">
        <f>IFERROR(__xludf.DUMMYFUNCTION("""COMPUTED_VALUE"""),"68
44
44
58")</f>
        <v>68
44
44
58</v>
      </c>
      <c r="D119" s="31" t="str">
        <f>IFERROR(__xludf.DUMMYFUNCTION("""COMPUTED_VALUE"""),"73
46
46
61")</f>
        <v>73
46
46
61</v>
      </c>
      <c r="E119" s="31" t="str">
        <f>IFERROR(__xludf.DUMMYFUNCTION("""COMPUTED_VALUE"""),"78
48
48
65")</f>
        <v>78
48
48
65</v>
      </c>
      <c r="F119" s="31" t="str">
        <f>IFERROR(__xludf.DUMMYFUNCTION("""COMPUTED_VALUE"""),"85
50
50
69")</f>
        <v>85
50
50
69</v>
      </c>
      <c r="G119" s="31" t="str">
        <f>IFERROR(__xludf.DUMMYFUNCTION("""COMPUTED_VALUE"""),"Sleep Protection (100%)
Confusion Protection (100%)")</f>
        <v>Sleep Protection (100%)
Confusion Protection (100%)</v>
      </c>
      <c r="H119" s="41" t="str">
        <f>IFERROR(__xludf.DUMMYFUNCTION("""COMPUTED_VALUE"""),"Recipe: A Guide to Godly Get-Up")</f>
        <v>Recipe: A Guide to Godly Get-Up</v>
      </c>
      <c r="I119" s="41" t="str">
        <f>IFERROR(__xludf.DUMMYFUNCTION("""COMPUTED_VALUE"""),"Slime Crown: 1
Fire Ball: 2
Spectralite: 1
Technicolour Dreamcloth: 1
Crimsonite: 1")</f>
        <v>Slime Crown: 1
Fire Ball: 2
Spectralite: 1
Technicolour Dreamcloth: 1
Crimsonite: 1</v>
      </c>
    </row>
    <row r="120">
      <c r="A120" s="55" t="str">
        <f>IFERROR(__xludf.DUMMYFUNCTION("""COMPUTED_VALUE"""),"Drustan's Helm")</f>
        <v>Drustan's Helm</v>
      </c>
      <c r="B120" s="30" t="str">
        <f>IFERROR(__xludf.DUMMYFUNCTION("""COMPUTED_VALUE"""),"Defence
Max HP
Charm")</f>
        <v>Defence
Max HP
Charm</v>
      </c>
      <c r="C120" s="30" t="str">
        <f>IFERROR(__xludf.DUMMYFUNCTION("""COMPUTED_VALUE"""),"77
15
42")</f>
        <v>77
15
42</v>
      </c>
      <c r="D120" s="30" t="str">
        <f>IFERROR(__xludf.DUMMYFUNCTION("""COMPUTED_VALUE"""),"83
20
44")</f>
        <v>83
20
44</v>
      </c>
      <c r="E120" s="30" t="str">
        <f>IFERROR(__xludf.DUMMYFUNCTION("""COMPUTED_VALUE"""),"89
25
47")</f>
        <v>89
25
47</v>
      </c>
      <c r="F120" s="30" t="str">
        <f>IFERROR(__xludf.DUMMYFUNCTION("""COMPUTED_VALUE"""),"96
30
50")</f>
        <v>96
30
50</v>
      </c>
      <c r="G120" s="30" t="str">
        <f>IFERROR(__xludf.DUMMYFUNCTION("""COMPUTED_VALUE"""),"--")</f>
        <v>--</v>
      </c>
      <c r="H120" s="42" t="str">
        <f>IFERROR(__xludf.DUMMYFUNCTION("""COMPUTED_VALUE"""),"Chest: The Disciple's Trial - The Eerie Valley")</f>
        <v>Chest: The Disciple's Trial - The Eerie Valley</v>
      </c>
      <c r="I120" s="42"/>
    </row>
    <row r="121">
      <c r="A121" s="56" t="str">
        <f>IFERROR(__xludf.DUMMYFUNCTION("""COMPUTED_VALUE"""),"Erdwin's Coronet")</f>
        <v>Erdwin's Coronet</v>
      </c>
      <c r="B121" s="31" t="str">
        <f>IFERROR(__xludf.DUMMYFUNCTION("""COMPUTED_VALUE"""),"Defence
Charm")</f>
        <v>Defence
Charm</v>
      </c>
      <c r="C121" s="31" t="str">
        <f>IFERROR(__xludf.DUMMYFUNCTION("""COMPUTED_VALUE"""),"75
105")</f>
        <v>75
105</v>
      </c>
      <c r="D121" s="31" t="str">
        <f>IFERROR(__xludf.DUMMYFUNCTION("""COMPUTED_VALUE"""),"81
111")</f>
        <v>81
111</v>
      </c>
      <c r="E121" s="31" t="str">
        <f>IFERROR(__xludf.DUMMYFUNCTION("""COMPUTED_VALUE"""),"87
118")</f>
        <v>87
118</v>
      </c>
      <c r="F121" s="31" t="str">
        <f>IFERROR(__xludf.DUMMYFUNCTION("""COMPUTED_VALUE"""),"94
125")</f>
        <v>94
125</v>
      </c>
      <c r="G121" s="31" t="str">
        <f>IFERROR(__xludf.DUMMYFUNCTION("""COMPUTED_VALUE"""),"Sleep &amp; Confusion Protection (25/30/40/50%)
Spell-Seal &amp; Insta-Death Protection (25/30/40/50%)")</f>
        <v>Sleep &amp; Confusion Protection (25/30/40/50%)
Spell-Seal &amp; Insta-Death Protection (25/30/40/50%)</v>
      </c>
      <c r="H121" s="41" t="str">
        <f>IFERROR(__xludf.DUMMYFUNCTION("""COMPUTED_VALUE"""),"Chest: Luminary's Trial")</f>
        <v>Chest: Luminary's Trial</v>
      </c>
      <c r="I121" s="41"/>
    </row>
  </sheetData>
  <mergeCells count="4">
    <mergeCell ref="A2:I2"/>
    <mergeCell ref="A25:I25"/>
    <mergeCell ref="A39:I39"/>
    <mergeCell ref="A93:I9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2.63"/>
    <col customWidth="1" min="3" max="6" width="5.13"/>
    <col customWidth="1" min="7" max="7" width="37.63"/>
    <col customWidth="1" min="8" max="8" width="46.38"/>
    <col customWidth="1" min="9" max="9" width="22.63"/>
  </cols>
  <sheetData>
    <row r="1" ht="15.0" customHeight="1">
      <c r="A1" s="1" t="str">
        <f>IFERROR(__xludf.DUMMYFUNCTION("IMPORTRANGE(""1pGQGO9M_OLNstXbY45t1_zMDCLpiw8pwB7y8fM3IKkA"",""Armour!A1:I125"")"),"Name")</f>
        <v>Name</v>
      </c>
      <c r="B1" s="60" t="str">
        <f>IFERROR(__xludf.DUMMYFUNCTION("""COMPUTED_VALUE"""),"Stat")</f>
        <v>Stat</v>
      </c>
      <c r="C1" s="60" t="str">
        <f>IFERROR(__xludf.DUMMYFUNCTION("""COMPUTED_VALUE"""),"Base")</f>
        <v>Base</v>
      </c>
      <c r="D1" s="61" t="str">
        <f>IFERROR(__xludf.DUMMYFUNCTION("""COMPUTED_VALUE"""),"+1")</f>
        <v>+1</v>
      </c>
      <c r="E1" s="61" t="str">
        <f>IFERROR(__xludf.DUMMYFUNCTION("""COMPUTED_VALUE"""),"+2")</f>
        <v>+2</v>
      </c>
      <c r="F1" s="61" t="str">
        <f>IFERROR(__xludf.DUMMYFUNCTION("""COMPUTED_VALUE"""),"+3")</f>
        <v>+3</v>
      </c>
      <c r="G1" s="60" t="str">
        <f>IFERROR(__xludf.DUMMYFUNCTION("""COMPUTED_VALUE"""),"Special")</f>
        <v>Special</v>
      </c>
      <c r="H1" s="50" t="str">
        <f>IFERROR(__xludf.DUMMYFUNCTION("""COMPUTED_VALUE"""),"Location (Vicious/Malicious will also drop)")</f>
        <v>Location (Vicious/Malicious will also drop)</v>
      </c>
      <c r="I1" s="60" t="str">
        <f>IFERROR(__xludf.DUMMYFUNCTION("""COMPUTED_VALUE"""),"Forge")</f>
        <v>Forge</v>
      </c>
    </row>
    <row r="2">
      <c r="A2" s="52" t="str">
        <f>IFERROR(__xludf.DUMMYFUNCTION("""COMPUTED_VALUE"""),"Clothes")</f>
        <v>Clothes</v>
      </c>
      <c r="B2" s="7"/>
      <c r="C2" s="7"/>
      <c r="D2" s="7"/>
      <c r="E2" s="7"/>
      <c r="F2" s="7"/>
      <c r="G2" s="7"/>
      <c r="H2" s="7"/>
      <c r="I2" s="8"/>
    </row>
    <row r="3">
      <c r="A3" s="53" t="str">
        <f>IFERROR(__xludf.DUMMYFUNCTION("""COMPUTED_VALUE"""),"Plain Clothes")</f>
        <v>Plain Clothes</v>
      </c>
      <c r="B3" s="31" t="str">
        <f>IFERROR(__xludf.DUMMYFUNCTION("""COMPUTED_VALUE"""),"Defence")</f>
        <v>Defence</v>
      </c>
      <c r="C3" s="31">
        <f>IFERROR(__xludf.DUMMYFUNCTION("""COMPUTED_VALUE"""),4.0)</f>
        <v>4</v>
      </c>
      <c r="D3" s="31">
        <f>IFERROR(__xludf.DUMMYFUNCTION("""COMPUTED_VALUE"""),5.0)</f>
        <v>5</v>
      </c>
      <c r="E3" s="31">
        <f>IFERROR(__xludf.DUMMYFUNCTION("""COMPUTED_VALUE"""),6.0)</f>
        <v>6</v>
      </c>
      <c r="F3" s="31">
        <f>IFERROR(__xludf.DUMMYFUNCTION("""COMPUTED_VALUE"""),7.0)</f>
        <v>7</v>
      </c>
      <c r="G3" s="31" t="str">
        <f>IFERROR(__xludf.DUMMYFUNCTION("""COMPUTED_VALUE"""),"--")</f>
        <v>--</v>
      </c>
      <c r="H3" s="41" t="str">
        <f>IFERROR(__xludf.DUMMYFUNCTION("""COMPUTED_VALUE"""),"Heliodor Region: 10
Common: Bodkin Archer")</f>
        <v>Heliodor Region: 10
Common: Bodkin Archer</v>
      </c>
      <c r="I3" s="41"/>
    </row>
    <row r="4">
      <c r="A4" s="54" t="str">
        <f>IFERROR(__xludf.DUMMYFUNCTION("""COMPUTED_VALUE"""),"Wayfarer's Clothes")</f>
        <v>Wayfarer's Clothes</v>
      </c>
      <c r="B4" s="30" t="str">
        <f>IFERROR(__xludf.DUMMYFUNCTION("""COMPUTED_VALUE"""),"Defence")</f>
        <v>Defence</v>
      </c>
      <c r="C4" s="30">
        <f>IFERROR(__xludf.DUMMYFUNCTION("""COMPUTED_VALUE"""),7.0)</f>
        <v>7</v>
      </c>
      <c r="D4" s="30">
        <f>IFERROR(__xludf.DUMMYFUNCTION("""COMPUTED_VALUE"""),8.0)</f>
        <v>8</v>
      </c>
      <c r="E4" s="30">
        <f>IFERROR(__xludf.DUMMYFUNCTION("""COMPUTED_VALUE"""),10.0)</f>
        <v>10</v>
      </c>
      <c r="F4" s="30">
        <f>IFERROR(__xludf.DUMMYFUNCTION("""COMPUTED_VALUE"""),12.0)</f>
        <v>12</v>
      </c>
      <c r="G4" s="30" t="str">
        <f>IFERROR(__xludf.DUMMYFUNCTION("""COMPUTED_VALUE"""),"--")</f>
        <v>--</v>
      </c>
      <c r="H4" s="42" t="str">
        <f>IFERROR(__xludf.DUMMYFUNCTION("""COMPUTED_VALUE"""),"Heliodor Region, Heliodor: 70")</f>
        <v>Heliodor Region, Heliodor: 70</v>
      </c>
      <c r="I4" s="42"/>
    </row>
    <row r="5">
      <c r="A5" s="53" t="str">
        <f>IFERROR(__xludf.DUMMYFUNCTION("""COMPUTED_VALUE"""),"Boxer Shorts")</f>
        <v>Boxer Shorts</v>
      </c>
      <c r="B5" s="31" t="str">
        <f>IFERROR(__xludf.DUMMYFUNCTION("""COMPUTED_VALUE"""),"Defence")</f>
        <v>Defence</v>
      </c>
      <c r="C5" s="31">
        <f>IFERROR(__xludf.DUMMYFUNCTION("""COMPUTED_VALUE"""),10.0)</f>
        <v>10</v>
      </c>
      <c r="D5" s="31">
        <f>IFERROR(__xludf.DUMMYFUNCTION("""COMPUTED_VALUE"""),11.0)</f>
        <v>11</v>
      </c>
      <c r="E5" s="31">
        <f>IFERROR(__xludf.DUMMYFUNCTION("""COMPUTED_VALUE"""),13.0)</f>
        <v>13</v>
      </c>
      <c r="F5" s="31">
        <f>IFERROR(__xludf.DUMMYFUNCTION("""COMPUTED_VALUE"""),15.0)</f>
        <v>15</v>
      </c>
      <c r="G5" s="31" t="str">
        <f>IFERROR(__xludf.DUMMYFUNCTION("""COMPUTED_VALUE"""),"--")</f>
        <v>--</v>
      </c>
      <c r="H5" s="41" t="str">
        <f>IFERROR(__xludf.DUMMYFUNCTION("""COMPUTED_VALUE"""),"Downtown, Manglegrove: 100
Common: Hood, Rare: Dancing Devil")</f>
        <v>Downtown, Manglegrove: 100
Common: Hood, Rare: Dancing Devil</v>
      </c>
      <c r="I5" s="41"/>
    </row>
    <row r="6">
      <c r="A6" s="54" t="str">
        <f>IFERROR(__xludf.DUMMYFUNCTION("""COMPUTED_VALUE"""),"Templar's Uniform")</f>
        <v>Templar's Uniform</v>
      </c>
      <c r="B6" s="30" t="str">
        <f>IFERROR(__xludf.DUMMYFUNCTION("""COMPUTED_VALUE"""),"Defence
Charm")</f>
        <v>Defence
Charm</v>
      </c>
      <c r="C6" s="30" t="str">
        <f>IFERROR(__xludf.DUMMYFUNCTION("""COMPUTED_VALUE"""),"13
10")</f>
        <v>13
10</v>
      </c>
      <c r="D6" s="30" t="str">
        <f>IFERROR(__xludf.DUMMYFUNCTION("""COMPUTED_VALUE"""),"14
11")</f>
        <v>14
11</v>
      </c>
      <c r="E6" s="30" t="str">
        <f>IFERROR(__xludf.DUMMYFUNCTION("""COMPUTED_VALUE"""),"15
12")</f>
        <v>15
12</v>
      </c>
      <c r="F6" s="30" t="str">
        <f>IFERROR(__xludf.DUMMYFUNCTION("""COMPUTED_VALUE"""),"17
14")</f>
        <v>17
14</v>
      </c>
      <c r="G6" s="30" t="str">
        <f>IFERROR(__xludf.DUMMYFUNCTION("""COMPUTED_VALUE"""),"--")</f>
        <v>--</v>
      </c>
      <c r="H6" s="42" t="str">
        <f>IFERROR(__xludf.DUMMYFUNCTION("""COMPUTED_VALUE"""),"Emerald Coast: 280
Recipe: O Holy Knight")</f>
        <v>Emerald Coast: 280
Recipe: O Holy Knight</v>
      </c>
      <c r="I6" s="42" t="str">
        <f>IFERROR(__xludf.DUMMYFUNCTION("""COMPUTED_VALUE"""),"Cottontop: 2
Buzzberries: 1")</f>
        <v>Cottontop: 2
Buzzberries: 1</v>
      </c>
    </row>
    <row r="7">
      <c r="A7" s="53" t="str">
        <f>IFERROR(__xludf.DUMMYFUNCTION("""COMPUTED_VALUE"""),"Leather Dress")</f>
        <v>Leather Dress</v>
      </c>
      <c r="B7" s="31" t="str">
        <f>IFERROR(__xludf.DUMMYFUNCTION("""COMPUTED_VALUE"""),"Defence")</f>
        <v>Defence</v>
      </c>
      <c r="C7" s="31">
        <f>IFERROR(__xludf.DUMMYFUNCTION("""COMPUTED_VALUE"""),15.0)</f>
        <v>15</v>
      </c>
      <c r="D7" s="31">
        <f>IFERROR(__xludf.DUMMYFUNCTION("""COMPUTED_VALUE"""),16.0)</f>
        <v>16</v>
      </c>
      <c r="E7" s="31">
        <f>IFERROR(__xludf.DUMMYFUNCTION("""COMPUTED_VALUE"""),17.0)</f>
        <v>17</v>
      </c>
      <c r="F7" s="31">
        <f>IFERROR(__xludf.DUMMYFUNCTION("""COMPUTED_VALUE"""),19.0)</f>
        <v>19</v>
      </c>
      <c r="G7" s="31" t="str">
        <f>IFERROR(__xludf.DUMMYFUNCTION("""COMPUTED_VALUE"""),"--")</f>
        <v>--</v>
      </c>
      <c r="H7" s="41" t="str">
        <f>IFERROR(__xludf.DUMMYFUNCTION("""COMPUTED_VALUE"""),"Hotto Steppe, Hotto, Galloplis, Gondolia: 380")</f>
        <v>Hotto Steppe, Hotto, Galloplis, Gondolia: 380</v>
      </c>
      <c r="I7" s="41"/>
    </row>
    <row r="8">
      <c r="A8" s="54" t="str">
        <f>IFERROR(__xludf.DUMMYFUNCTION("""COMPUTED_VALUE"""),"Leather Cape")</f>
        <v>Leather Cape</v>
      </c>
      <c r="B8" s="30" t="str">
        <f>IFERROR(__xludf.DUMMYFUNCTION("""COMPUTED_VALUE"""),"Defence")</f>
        <v>Defence</v>
      </c>
      <c r="C8" s="30">
        <f>IFERROR(__xludf.DUMMYFUNCTION("""COMPUTED_VALUE"""),22.0)</f>
        <v>22</v>
      </c>
      <c r="D8" s="30">
        <f>IFERROR(__xludf.DUMMYFUNCTION("""COMPUTED_VALUE"""),23.0)</f>
        <v>23</v>
      </c>
      <c r="E8" s="30">
        <f>IFERROR(__xludf.DUMMYFUNCTION("""COMPUTED_VALUE"""),25.0)</f>
        <v>25</v>
      </c>
      <c r="F8" s="30">
        <f>IFERROR(__xludf.DUMMYFUNCTION("""COMPUTED_VALUE"""),27.0)</f>
        <v>27</v>
      </c>
      <c r="G8" s="30" t="str">
        <f>IFERROR(__xludf.DUMMYFUNCTION("""COMPUTED_VALUE"""),"--")</f>
        <v>--</v>
      </c>
      <c r="H8" s="42" t="str">
        <f>IFERROR(__xludf.DUMMYFUNCTION("""COMPUTED_VALUE"""),"Gallopolis, Laguna di Gondolia, Gondolia: 1100
Common: Dullahan Tap Devil, Rare: Hood, Bodkin Bowyer")</f>
        <v>Gallopolis, Laguna di Gondolia, Gondolia: 1100
Common: Dullahan Tap Devil, Rare: Hood, Bodkin Bowyer</v>
      </c>
      <c r="I8" s="42"/>
    </row>
    <row r="9">
      <c r="A9" s="53" t="str">
        <f>IFERROR(__xludf.DUMMYFUNCTION("""COMPUTED_VALUE"""),"Fizzle-Retardant Blouse")</f>
        <v>Fizzle-Retardant Blouse</v>
      </c>
      <c r="B9" s="31" t="str">
        <f>IFERROR(__xludf.DUMMYFUNCTION("""COMPUTED_VALUE"""),"Defence
Magic Might")</f>
        <v>Defence
Magic Might</v>
      </c>
      <c r="C9" s="31" t="str">
        <f>IFERROR(__xludf.DUMMYFUNCTION("""COMPUTED_VALUE"""),"21
8")</f>
        <v>21
8</v>
      </c>
      <c r="D9" s="31" t="str">
        <f>IFERROR(__xludf.DUMMYFUNCTION("""COMPUTED_VALUE"""),"22
9")</f>
        <v>22
9</v>
      </c>
      <c r="E9" s="31" t="str">
        <f>IFERROR(__xludf.DUMMYFUNCTION("""COMPUTED_VALUE"""),"23
9")</f>
        <v>23
9</v>
      </c>
      <c r="F9" s="31" t="str">
        <f>IFERROR(__xludf.DUMMYFUNCTION("""COMPUTED_VALUE"""),"24
10")</f>
        <v>24
10</v>
      </c>
      <c r="G9" s="31" t="str">
        <f>IFERROR(__xludf.DUMMYFUNCTION("""COMPUTED_VALUE"""),"Spell-Sealing Protection (30%)")</f>
        <v>Spell-Sealing Protection (30%)</v>
      </c>
      <c r="H9" s="41" t="str">
        <f>IFERROR(__xludf.DUMMYFUNCTION("""COMPUTED_VALUE"""),"Recipe: So You Want to Be a Witch")</f>
        <v>Recipe: So You Want to Be a Witch</v>
      </c>
      <c r="I9" s="41" t="str">
        <f>IFERROR(__xludf.DUMMYFUNCTION("""COMPUTED_VALUE"""),"Cottontop: 1
Narspicious: 1
Oasis Water: 1")</f>
        <v>Cottontop: 1
Narspicious: 1
Oasis Water: 1</v>
      </c>
    </row>
    <row r="10">
      <c r="A10" s="55" t="str">
        <f>IFERROR(__xludf.DUMMYFUNCTION("""COMPUTED_VALUE"""),"Dancer's Costume")</f>
        <v>Dancer's Costume</v>
      </c>
      <c r="B10" s="30" t="str">
        <f>IFERROR(__xludf.DUMMYFUNCTION("""COMPUTED_VALUE"""),"Defence
Evasion %
Charm")</f>
        <v>Defence
Evasion %
Charm</v>
      </c>
      <c r="C10" s="30" t="str">
        <f>IFERROR(__xludf.DUMMYFUNCTION("""COMPUTED_VALUE"""),"23
4
19")</f>
        <v>23
4
19</v>
      </c>
      <c r="D10" s="30" t="str">
        <f>IFERROR(__xludf.DUMMYFUNCTION("""COMPUTED_VALUE"""),"25
4
20")</f>
        <v>25
4
20</v>
      </c>
      <c r="E10" s="30" t="str">
        <f>IFERROR(__xludf.DUMMYFUNCTION("""COMPUTED_VALUE"""),"27
4
21")</f>
        <v>27
4
21</v>
      </c>
      <c r="F10" s="30" t="str">
        <f>IFERROR(__xludf.DUMMYFUNCTION("""COMPUTED_VALUE"""),"30
4
25")</f>
        <v>30
4
25</v>
      </c>
      <c r="G10" s="30" t="str">
        <f>IFERROR(__xludf.DUMMYFUNCTION("""COMPUTED_VALUE"""),"--")</f>
        <v>--</v>
      </c>
      <c r="H10" s="42" t="str">
        <f>IFERROR(__xludf.DUMMYFUNCTION("""COMPUTED_VALUE"""),"Gallopolis: 1300
Common: Grey Gordon, Rare: Squid Kid,")</f>
        <v>Gallopolis: 1300
Common: Grey Gordon, Rare: Squid Kid,</v>
      </c>
      <c r="I10" s="42"/>
    </row>
    <row r="11">
      <c r="A11" s="56" t="str">
        <f>IFERROR(__xludf.DUMMYFUNCTION("""COMPUTED_VALUE"""),"Cat Suit")</f>
        <v>Cat Suit</v>
      </c>
      <c r="B11" s="31" t="str">
        <f>IFERROR(__xludf.DUMMYFUNCTION("""COMPUTED_VALUE"""),"Defence
Evasion %
Agility
Charm")</f>
        <v>Defence
Evasion %
Agility
Charm</v>
      </c>
      <c r="C11" s="31" t="str">
        <f>IFERROR(__xludf.DUMMYFUNCTION("""COMPUTED_VALUE"""),"25
4
8
20")</f>
        <v>25
4
8
20</v>
      </c>
      <c r="D11" s="31" t="str">
        <f>IFERROR(__xludf.DUMMYFUNCTION("""COMPUTED_VALUE"""),"27
4
9
21")</f>
        <v>27
4
9
21</v>
      </c>
      <c r="E11" s="31" t="str">
        <f>IFERROR(__xludf.DUMMYFUNCTION("""COMPUTED_VALUE"""),"29
4
9
23")</f>
        <v>29
4
9
23</v>
      </c>
      <c r="F11" s="31" t="str">
        <f>IFERROR(__xludf.DUMMYFUNCTION("""COMPUTED_VALUE"""),"31
4
10
26")</f>
        <v>31
4
10
26</v>
      </c>
      <c r="G11" s="31" t="str">
        <f>IFERROR(__xludf.DUMMYFUNCTION("""COMPUTED_VALUE"""),"Ice Damage Reduction (10%)
Dark Damage Reduction (10%)")</f>
        <v>Ice Damage Reduction (10%)
Dark Damage Reduction (10%)</v>
      </c>
      <c r="H11" s="41" t="str">
        <f>IFERROR(__xludf.DUMMYFUNCTION("""COMPUTED_VALUE"""),"Gondolia (Part 2): 1500
Haggle with brothers in Gondolia, minimum price 1000 (Part 1)")</f>
        <v>Gondolia (Part 2): 1500
Haggle with brothers in Gondolia, minimum price 1000 (Part 1)</v>
      </c>
      <c r="I11" s="41"/>
    </row>
    <row r="12">
      <c r="A12" s="54" t="str">
        <f>IFERROR(__xludf.DUMMYFUNCTION("""COMPUTED_VALUE"""),"Cloak of Evasion")</f>
        <v>Cloak of Evasion</v>
      </c>
      <c r="B12" s="30" t="str">
        <f>IFERROR(__xludf.DUMMYFUNCTION("""COMPUTED_VALUE"""),"Defence
Evasion %")</f>
        <v>Defence
Evasion %</v>
      </c>
      <c r="C12" s="30" t="str">
        <f>IFERROR(__xludf.DUMMYFUNCTION("""COMPUTED_VALUE"""),"29
3")</f>
        <v>29
3</v>
      </c>
      <c r="D12" s="30" t="str">
        <f>IFERROR(__xludf.DUMMYFUNCTION("""COMPUTED_VALUE"""),"30
4")</f>
        <v>30
4</v>
      </c>
      <c r="E12" s="30" t="str">
        <f>IFERROR(__xludf.DUMMYFUNCTION("""COMPUTED_VALUE"""),"31
4")</f>
        <v>31
4</v>
      </c>
      <c r="F12" s="30" t="str">
        <f>IFERROR(__xludf.DUMMYFUNCTION("""COMPUTED_VALUE"""),"32
5")</f>
        <v>32
5</v>
      </c>
      <c r="G12" s="30" t="str">
        <f>IFERROR(__xludf.DUMMYFUNCTION("""COMPUTED_VALUE"""),"--")</f>
        <v>--</v>
      </c>
      <c r="H12" s="42" t="str">
        <f>IFERROR(__xludf.DUMMYFUNCTION("""COMPUTED_VALUE"""),"Octagonia, Puerto Valor, Lonalulu, Phnom Nonh: 3000
Rare: Miasma")</f>
        <v>Octagonia, Puerto Valor, Lonalulu, Phnom Nonh: 3000
Rare: Miasma</v>
      </c>
      <c r="I12" s="42"/>
    </row>
    <row r="13">
      <c r="A13" s="53" t="str">
        <f>IFERROR(__xludf.DUMMYFUNCTION("""COMPUTED_VALUE"""),"Fur Poncho")</f>
        <v>Fur Poncho</v>
      </c>
      <c r="B13" s="31" t="str">
        <f>IFERROR(__xludf.DUMMYFUNCTION("""COMPUTED_VALUE"""),"Defence")</f>
        <v>Defence</v>
      </c>
      <c r="C13" s="31">
        <f>IFERROR(__xludf.DUMMYFUNCTION("""COMPUTED_VALUE"""),29.0)</f>
        <v>29</v>
      </c>
      <c r="D13" s="31">
        <f>IFERROR(__xludf.DUMMYFUNCTION("""COMPUTED_VALUE"""),30.0)</f>
        <v>30</v>
      </c>
      <c r="E13" s="31">
        <f>IFERROR(__xludf.DUMMYFUNCTION("""COMPUTED_VALUE"""),31.0)</f>
        <v>31</v>
      </c>
      <c r="F13" s="31">
        <f>IFERROR(__xludf.DUMMYFUNCTION("""COMPUTED_VALUE"""),33.0)</f>
        <v>33</v>
      </c>
      <c r="G13" s="31" t="str">
        <f>IFERROR(__xludf.DUMMYFUNCTION("""COMPUTED_VALUE"""),"Fire Damage Reduction (10%)
Ice Damage Reduction (10%)")</f>
        <v>Fire Damage Reduction (10%)
Ice Damage Reduction (10%)</v>
      </c>
      <c r="H13" s="41" t="str">
        <f>IFERROR(__xludf.DUMMYFUNCTION("""COMPUTED_VALUE"""),"Sniflheim
Rare: Otter Shambles")</f>
        <v>Sniflheim
Rare: Otter Shambles</v>
      </c>
      <c r="I13" s="41" t="str">
        <f>IFERROR(__xludf.DUMMYFUNCTION("""COMPUTED_VALUE"""),"Magic Beast Hide: 2")</f>
        <v>Magic Beast Hide: 2</v>
      </c>
    </row>
    <row r="14">
      <c r="A14" s="55" t="str">
        <f>IFERROR(__xludf.DUMMYFUNCTION("""COMPUTED_VALUE"""),"Pretty Pinny")</f>
        <v>Pretty Pinny</v>
      </c>
      <c r="B14" s="30" t="str">
        <f>IFERROR(__xludf.DUMMYFUNCTION("""COMPUTED_VALUE"""),"Defence
Magic Might
Charm")</f>
        <v>Defence
Magic Might
Charm</v>
      </c>
      <c r="C14" s="30" t="str">
        <f>IFERROR(__xludf.DUMMYFUNCTION("""COMPUTED_VALUE"""),"33
9
27")</f>
        <v>33
9
27</v>
      </c>
      <c r="D14" s="30" t="str">
        <f>IFERROR(__xludf.DUMMYFUNCTION("""COMPUTED_VALUE"""),"34
10
28")</f>
        <v>34
10
28</v>
      </c>
      <c r="E14" s="30" t="str">
        <f>IFERROR(__xludf.DUMMYFUNCTION("""COMPUTED_VALUE"""),"35
11
29")</f>
        <v>35
11
29</v>
      </c>
      <c r="F14" s="30" t="str">
        <f>IFERROR(__xludf.DUMMYFUNCTION("""COMPUTED_VALUE"""),"37
12
30")</f>
        <v>37
12
30</v>
      </c>
      <c r="G14" s="30" t="str">
        <f>IFERROR(__xludf.DUMMYFUNCTION("""COMPUTED_VALUE"""),"--")</f>
        <v>--</v>
      </c>
      <c r="H14" s="42" t="str">
        <f>IFERROR(__xludf.DUMMYFUNCTION("""COMPUTED_VALUE"""),"Recipe: All Things Nice")</f>
        <v>Recipe: All Things Nice</v>
      </c>
      <c r="I14" s="42" t="str">
        <f>IFERROR(__xludf.DUMMYFUNCTION("""COMPUTED_VALUE"""),"Waveweed: 2
Faerie Fluff: 1")</f>
        <v>Waveweed: 2
Faerie Fluff: 1</v>
      </c>
    </row>
    <row r="15">
      <c r="A15" s="56" t="str">
        <f>IFERROR(__xludf.DUMMYFUNCTION("""COMPUTED_VALUE"""),"Dainty Dress")</f>
        <v>Dainty Dress</v>
      </c>
      <c r="B15" s="31" t="str">
        <f>IFERROR(__xludf.DUMMYFUNCTION("""COMPUTED_VALUE"""),"Defence
Magic Mend
Charm")</f>
        <v>Defence
Magic Mend
Charm</v>
      </c>
      <c r="C15" s="31" t="str">
        <f>IFERROR(__xludf.DUMMYFUNCTION("""COMPUTED_VALUE"""),"33
9
27")</f>
        <v>33
9
27</v>
      </c>
      <c r="D15" s="31" t="str">
        <f>IFERROR(__xludf.DUMMYFUNCTION("""COMPUTED_VALUE"""),"34
10
28")</f>
        <v>34
10
28</v>
      </c>
      <c r="E15" s="31" t="str">
        <f>IFERROR(__xludf.DUMMYFUNCTION("""COMPUTED_VALUE"""),"35
11
29")</f>
        <v>35
11
29</v>
      </c>
      <c r="F15" s="31" t="str">
        <f>IFERROR(__xludf.DUMMYFUNCTION("""COMPUTED_VALUE"""),"37
12
30")</f>
        <v>37
12
30</v>
      </c>
      <c r="G15" s="31" t="str">
        <f>IFERROR(__xludf.DUMMYFUNCTION("""COMPUTED_VALUE"""),"--")</f>
        <v>--</v>
      </c>
      <c r="H15" s="41" t="str">
        <f>IFERROR(__xludf.DUMMYFUNCTION("""COMPUTED_VALUE"""),"Recipe: All Things Nice")</f>
        <v>Recipe: All Things Nice</v>
      </c>
      <c r="I15" s="41" t="str">
        <f>IFERROR(__xludf.DUMMYFUNCTION("""COMPUTED_VALUE"""),"Waveweed: 2
Crimson Coral: 1")</f>
        <v>Waveweed: 2
Crimson Coral: 1</v>
      </c>
    </row>
    <row r="16">
      <c r="A16" s="54" t="str">
        <f>IFERROR(__xludf.DUMMYFUNCTION("""COMPUTED_VALUE"""),"Arriviste's Vest")</f>
        <v>Arriviste's Vest</v>
      </c>
      <c r="B16" s="30" t="str">
        <f>IFERROR(__xludf.DUMMYFUNCTION("""COMPUTED_VALUE"""),"Defence")</f>
        <v>Defence</v>
      </c>
      <c r="C16" s="30">
        <f>IFERROR(__xludf.DUMMYFUNCTION("""COMPUTED_VALUE"""),5.0)</f>
        <v>5</v>
      </c>
      <c r="D16" s="30">
        <f>IFERROR(__xludf.DUMMYFUNCTION("""COMPUTED_VALUE"""),12.0)</f>
        <v>12</v>
      </c>
      <c r="E16" s="30">
        <f>IFERROR(__xludf.DUMMYFUNCTION("""COMPUTED_VALUE"""),19.0)</f>
        <v>19</v>
      </c>
      <c r="F16" s="30">
        <f>IFERROR(__xludf.DUMMYFUNCTION("""COMPUTED_VALUE"""),28.0)</f>
        <v>28</v>
      </c>
      <c r="G16" s="30" t="str">
        <f>IFERROR(__xludf.DUMMYFUNCTION("""COMPUTED_VALUE"""),"Increase in Gold Coins Earned (10%, Max 15)")</f>
        <v>Increase in Gold Coins Earned (10%, Max 15)</v>
      </c>
      <c r="H16" s="42" t="str">
        <f>IFERROR(__xludf.DUMMYFUNCTION("""COMPUTED_VALUE"""),"Puerto Valor Casino: 10000")</f>
        <v>Puerto Valor Casino: 10000</v>
      </c>
      <c r="I16" s="42"/>
    </row>
    <row r="17">
      <c r="A17" s="53" t="str">
        <f>IFERROR(__xludf.DUMMYFUNCTION("""COMPUTED_VALUE"""),"Elevating Vest")</f>
        <v>Elevating Vest</v>
      </c>
      <c r="B17" s="31" t="str">
        <f>IFERROR(__xludf.DUMMYFUNCTION("""COMPUTED_VALUE"""),"Defence")</f>
        <v>Defence</v>
      </c>
      <c r="C17" s="31">
        <f>IFERROR(__xludf.DUMMYFUNCTION("""COMPUTED_VALUE"""),5.0)</f>
        <v>5</v>
      </c>
      <c r="D17" s="31">
        <f>IFERROR(__xludf.DUMMYFUNCTION("""COMPUTED_VALUE"""),12.0)</f>
        <v>12</v>
      </c>
      <c r="E17" s="31">
        <f>IFERROR(__xludf.DUMMYFUNCTION("""COMPUTED_VALUE"""),19.0)</f>
        <v>19</v>
      </c>
      <c r="F17" s="31">
        <f>IFERROR(__xludf.DUMMYFUNCTION("""COMPUTED_VALUE"""),28.0)</f>
        <v>28</v>
      </c>
      <c r="G17" s="31" t="str">
        <f>IFERROR(__xludf.DUMMYFUNCTION("""COMPUTED_VALUE"""),"Increase in Experience Earned (10%, Max 75)")</f>
        <v>Increase in Experience Earned (10%, Max 75)</v>
      </c>
      <c r="H17" s="41" t="str">
        <f>IFERROR(__xludf.DUMMYFUNCTION("""COMPUTED_VALUE"""),"Puerto Valor Casino: 10000")</f>
        <v>Puerto Valor Casino: 10000</v>
      </c>
      <c r="I17" s="41"/>
    </row>
    <row r="18">
      <c r="A18" s="55" t="str">
        <f>IFERROR(__xludf.DUMMYFUNCTION("""COMPUTED_VALUE"""),"Swindler's Stole")</f>
        <v>Swindler's Stole</v>
      </c>
      <c r="B18" s="30" t="str">
        <f>IFERROR(__xludf.DUMMYFUNCTION("""COMPUTED_VALUE"""),"Defence
Evasion %
Deftness
Charm")</f>
        <v>Defence
Evasion %
Deftness
Charm</v>
      </c>
      <c r="C18" s="30" t="str">
        <f>IFERROR(__xludf.DUMMYFUNCTION("""COMPUTED_VALUE"""),"34
4
11
20")</f>
        <v>34
4
11
20</v>
      </c>
      <c r="D18" s="30" t="str">
        <f>IFERROR(__xludf.DUMMYFUNCTION("""COMPUTED_VALUE"""),"35
4
11
21")</f>
        <v>35
4
11
21</v>
      </c>
      <c r="E18" s="30" t="str">
        <f>IFERROR(__xludf.DUMMYFUNCTION("""COMPUTED_VALUE"""),"36
4
11
22")</f>
        <v>36
4
11
22</v>
      </c>
      <c r="F18" s="30" t="str">
        <f>IFERROR(__xludf.DUMMYFUNCTION("""COMPUTED_VALUE"""),"38
4
12
23")</f>
        <v>38
4
12
23</v>
      </c>
      <c r="G18" s="30" t="str">
        <f>IFERROR(__xludf.DUMMYFUNCTION("""COMPUTED_VALUE"""),"--")</f>
        <v>--</v>
      </c>
      <c r="H18" s="42" t="str">
        <f>IFERROR(__xludf.DUMMYFUNCTION("""COMPUTED_VALUE"""),"Recipe: Sweet Stuff for Swindlers")</f>
        <v>Recipe: Sweet Stuff for Swindlers</v>
      </c>
      <c r="I18" s="42" t="str">
        <f>IFERROR(__xludf.DUMMYFUNCTION("""COMPUTED_VALUE"""),"Faerie Fluff: 2
Blue Eye: 1
Maiden's Favour: 1")</f>
        <v>Faerie Fluff: 2
Blue Eye: 1
Maiden's Favour: 1</v>
      </c>
    </row>
    <row r="19">
      <c r="A19" s="56" t="str">
        <f>IFERROR(__xludf.DUMMYFUNCTION("""COMPUTED_VALUE"""),"Uniforme de l'Academie")</f>
        <v>Uniforme de l'Academie</v>
      </c>
      <c r="B19" s="31" t="str">
        <f>IFERROR(__xludf.DUMMYFUNCTION("""COMPUTED_VALUE"""),"Defence
Charm")</f>
        <v>Defence
Charm</v>
      </c>
      <c r="C19" s="31" t="str">
        <f>IFERROR(__xludf.DUMMYFUNCTION("""COMPUTED_VALUE"""),"35
29")</f>
        <v>35
29</v>
      </c>
      <c r="D19" s="31" t="str">
        <f>IFERROR(__xludf.DUMMYFUNCTION("""COMPUTED_VALUE"""),"37
30")</f>
        <v>37
30</v>
      </c>
      <c r="E19" s="31" t="str">
        <f>IFERROR(__xludf.DUMMYFUNCTION("""COMPUTED_VALUE"""),"39
31")</f>
        <v>39
31</v>
      </c>
      <c r="F19" s="31" t="str">
        <f>IFERROR(__xludf.DUMMYFUNCTION("""COMPUTED_VALUE"""),"41
32")</f>
        <v>41
32</v>
      </c>
      <c r="G19" s="31" t="str">
        <f>IFERROR(__xludf.DUMMYFUNCTION("""COMPUTED_VALUE"""),"Chance of monsters dropping items increased")</f>
        <v>Chance of monsters dropping items increased</v>
      </c>
      <c r="H19" s="41" t="str">
        <f>IFERROR(__xludf.DUMMYFUNCTION("""COMPUTED_VALUE"""),"Mini Medal Stamp: 25
Quest: The Agony and the Ecstasy
Magic Key: L'Academie")</f>
        <v>Mini Medal Stamp: 25
Quest: The Agony and the Ecstasy
Magic Key: L'Academie</v>
      </c>
      <c r="I19" s="41"/>
    </row>
    <row r="20">
      <c r="A20" s="54" t="str">
        <f>IFERROR(__xludf.DUMMYFUNCTION("""COMPUTED_VALUE"""),"Hairy Vest")</f>
        <v>Hairy Vest</v>
      </c>
      <c r="B20" s="30" t="str">
        <f>IFERROR(__xludf.DUMMYFUNCTION("""COMPUTED_VALUE"""),"Defence")</f>
        <v>Defence</v>
      </c>
      <c r="C20" s="30">
        <f>IFERROR(__xludf.DUMMYFUNCTION("""COMPUTED_VALUE"""),38.0)</f>
        <v>38</v>
      </c>
      <c r="D20" s="30">
        <f>IFERROR(__xludf.DUMMYFUNCTION("""COMPUTED_VALUE"""),39.0)</f>
        <v>39</v>
      </c>
      <c r="E20" s="30">
        <f>IFERROR(__xludf.DUMMYFUNCTION("""COMPUTED_VALUE"""),41.0)</f>
        <v>41</v>
      </c>
      <c r="F20" s="30">
        <f>IFERROR(__xludf.DUMMYFUNCTION("""COMPUTED_VALUE"""),43.0)</f>
        <v>43</v>
      </c>
      <c r="G20" s="30" t="str">
        <f>IFERROR(__xludf.DUMMYFUNCTION("""COMPUTED_VALUE"""),"Fire Damage Reduction (15%)
Ice Damage Reduction (15%)")</f>
        <v>Fire Damage Reduction (15%)
Ice Damage Reduction (15%)</v>
      </c>
      <c r="H20" s="42" t="str">
        <f>IFERROR(__xludf.DUMMYFUNCTION("""COMPUTED_VALUE"""),"Emerald Coast, Sniflheim: 3500
Rare: Cyclops, Crack-Billed Platypunk, Cheater Cheetah")</f>
        <v>Emerald Coast, Sniflheim: 3500
Rare: Cyclops, Crack-Billed Platypunk, Cheater Cheetah</v>
      </c>
      <c r="I20" s="42"/>
    </row>
    <row r="21">
      <c r="A21" s="56" t="str">
        <f>IFERROR(__xludf.DUMMYFUNCTION("""COMPUTED_VALUE"""),"Bunny Suit")</f>
        <v>Bunny Suit</v>
      </c>
      <c r="B21" s="31" t="str">
        <f>IFERROR(__xludf.DUMMYFUNCTION("""COMPUTED_VALUE"""),"Defence
Charm")</f>
        <v>Defence
Charm</v>
      </c>
      <c r="C21" s="31" t="str">
        <f>IFERROR(__xludf.DUMMYFUNCTION("""COMPUTED_VALUE"""),"38
31")</f>
        <v>38
31</v>
      </c>
      <c r="D21" s="31" t="str">
        <f>IFERROR(__xludf.DUMMYFUNCTION("""COMPUTED_VALUE"""),"40
32")</f>
        <v>40
32</v>
      </c>
      <c r="E21" s="31" t="str">
        <f>IFERROR(__xludf.DUMMYFUNCTION("""COMPUTED_VALUE"""),"42
33")</f>
        <v>42
33</v>
      </c>
      <c r="F21" s="31" t="str">
        <f>IFERROR(__xludf.DUMMYFUNCTION("""COMPUTED_VALUE"""),"44
35")</f>
        <v>44
35</v>
      </c>
      <c r="G21" s="31" t="str">
        <f>IFERROR(__xludf.DUMMYFUNCTION("""COMPUTED_VALUE"""),"--")</f>
        <v>--</v>
      </c>
      <c r="H21" s="41" t="str">
        <f>IFERROR(__xludf.DUMMYFUNCTION("""COMPUTED_VALUE"""),"Recipe: Down the Rabbithole")</f>
        <v>Recipe: Down the Rabbithole</v>
      </c>
      <c r="I21" s="41" t="str">
        <f>IFERROR(__xludf.DUMMYFUNCTION("""COMPUTED_VALUE"""),"Narspicious: 2
Butterfly Wing: 2
Green Eye: 1")</f>
        <v>Narspicious: 2
Butterfly Wing: 2
Green Eye: 1</v>
      </c>
    </row>
    <row r="22">
      <c r="A22" s="14" t="str">
        <f>IFERROR(__xludf.DUMMYFUNCTION("""COMPUTED_VALUE"""),"Smart Suit")</f>
        <v>Smart Suit</v>
      </c>
      <c r="B22" s="30" t="str">
        <f>IFERROR(__xludf.DUMMYFUNCTION("""COMPUTED_VALUE"""),"Defence
Charm")</f>
        <v>Defence
Charm</v>
      </c>
      <c r="C22" s="30" t="str">
        <f>IFERROR(__xludf.DUMMYFUNCTION("""COMPUTED_VALUE"""),"40
33")</f>
        <v>40
33</v>
      </c>
      <c r="D22" s="30" t="str">
        <f>IFERROR(__xludf.DUMMYFUNCTION("""COMPUTED_VALUE"""),"41
34")</f>
        <v>41
34</v>
      </c>
      <c r="E22" s="30" t="str">
        <f>IFERROR(__xludf.DUMMYFUNCTION("""COMPUTED_VALUE"""),"42
35")</f>
        <v>42
35</v>
      </c>
      <c r="F22" s="30" t="str">
        <f>IFERROR(__xludf.DUMMYFUNCTION("""COMPUTED_VALUE"""),"44
36")</f>
        <v>44
36</v>
      </c>
      <c r="G22" s="30" t="str">
        <f>IFERROR(__xludf.DUMMYFUNCTION("""COMPUTED_VALUE"""),"--")</f>
        <v>--</v>
      </c>
      <c r="H22" s="42" t="str">
        <f>IFERROR(__xludf.DUMMYFUNCTION("""COMPUTED_VALUE"""),"Recipe: Fine and Dandy Designs")</f>
        <v>Recipe: Fine and Dandy Designs</v>
      </c>
      <c r="I22" s="42" t="str">
        <f>IFERROR(__xludf.DUMMYFUNCTION("""COMPUTED_VALUE"""),"Glimmergrass: 3
Evencloth: 1
Cherry Blossom Petal: 1")</f>
        <v>Glimmergrass: 3
Evencloth: 1
Cherry Blossom Petal: 1</v>
      </c>
    </row>
    <row r="23">
      <c r="A23" s="62" t="str">
        <f>IFERROR(__xludf.DUMMYFUNCTION("""COMPUTED_VALUE"""),"Dapper Doublet")</f>
        <v>Dapper Doublet</v>
      </c>
      <c r="B23" s="31" t="str">
        <f>IFERROR(__xludf.DUMMYFUNCTION("""COMPUTED_VALUE"""),"Defence
Charm")</f>
        <v>Defence
Charm</v>
      </c>
      <c r="C23" s="31" t="str">
        <f>IFERROR(__xludf.DUMMYFUNCTION("""COMPUTED_VALUE"""),"41
26")</f>
        <v>41
26</v>
      </c>
      <c r="D23" s="31" t="str">
        <f>IFERROR(__xludf.DUMMYFUNCTION("""COMPUTED_VALUE"""),"42
27")</f>
        <v>42
27</v>
      </c>
      <c r="E23" s="31" t="str">
        <f>IFERROR(__xludf.DUMMYFUNCTION("""COMPUTED_VALUE"""),"43
28")</f>
        <v>43
28</v>
      </c>
      <c r="F23" s="31" t="str">
        <f>IFERROR(__xludf.DUMMYFUNCTION("""COMPUTED_VALUE"""),"44
29")</f>
        <v>44
29</v>
      </c>
      <c r="G23" s="31" t="str">
        <f>IFERROR(__xludf.DUMMYFUNCTION("""COMPUTED_VALUE"""),"Dark Damage Reduction (10%)")</f>
        <v>Dark Damage Reduction (10%)</v>
      </c>
      <c r="H23" s="41" t="str">
        <f>IFERROR(__xludf.DUMMYFUNCTION("""COMPUTED_VALUE"""),"Recipe: The Dapper Chap")</f>
        <v>Recipe: The Dapper Chap</v>
      </c>
      <c r="I23" s="41" t="str">
        <f>IFERROR(__xludf.DUMMYFUNCTION("""COMPUTED_VALUE"""),"Silkblossom: 2
Magic Beast Hide: 1
Green Eye: 1")</f>
        <v>Silkblossom: 2
Magic Beast Hide: 1
Green Eye: 1</v>
      </c>
    </row>
    <row r="24">
      <c r="A24" s="14" t="str">
        <f>IFERROR(__xludf.DUMMYFUNCTION("""COMPUTED_VALUE"""),"Strongsam")</f>
        <v>Strongsam</v>
      </c>
      <c r="B24" s="30" t="str">
        <f>IFERROR(__xludf.DUMMYFUNCTION("""COMPUTED_VALUE"""),"Defence
Agility")</f>
        <v>Defence
Agility</v>
      </c>
      <c r="C24" s="30" t="str">
        <f>IFERROR(__xludf.DUMMYFUNCTION("""COMPUTED_VALUE"""),"44
12")</f>
        <v>44
12</v>
      </c>
      <c r="D24" s="30" t="str">
        <f>IFERROR(__xludf.DUMMYFUNCTION("""COMPUTED_VALUE"""),"46
13")</f>
        <v>46
13</v>
      </c>
      <c r="E24" s="30" t="str">
        <f>IFERROR(__xludf.DUMMYFUNCTION("""COMPUTED_VALUE"""),"48
14")</f>
        <v>48
14</v>
      </c>
      <c r="F24" s="30" t="str">
        <f>IFERROR(__xludf.DUMMYFUNCTION("""COMPUTED_VALUE"""),"50
15")</f>
        <v>50
15</v>
      </c>
      <c r="G24" s="30" t="str">
        <f>IFERROR(__xludf.DUMMYFUNCTION("""COMPUTED_VALUE"""),"--")</f>
        <v>--</v>
      </c>
      <c r="H24" s="42" t="str">
        <f>IFERROR(__xludf.DUMMYFUNCTION("""COMPUTED_VALUE"""),"Phnom Nonh, Sniflheim: 4100")</f>
        <v>Phnom Nonh, Sniflheim: 4100</v>
      </c>
      <c r="I24" s="42"/>
    </row>
    <row r="25">
      <c r="A25" s="10" t="str">
        <f>IFERROR(__xludf.DUMMYFUNCTION("""COMPUTED_VALUE"""),"Silk Bustier")</f>
        <v>Silk Bustier</v>
      </c>
      <c r="B25" s="31" t="str">
        <f>IFERROR(__xludf.DUMMYFUNCTION("""COMPUTED_VALUE"""),"Defence
Charm")</f>
        <v>Defence
Charm</v>
      </c>
      <c r="C25" s="31" t="str">
        <f>IFERROR(__xludf.DUMMYFUNCTION("""COMPUTED_VALUE"""),"44
36")</f>
        <v>44
36</v>
      </c>
      <c r="D25" s="31" t="str">
        <f>IFERROR(__xludf.DUMMYFUNCTION("""COMPUTED_VALUE"""),"46
39")</f>
        <v>46
39</v>
      </c>
      <c r="E25" s="31" t="str">
        <f>IFERROR(__xludf.DUMMYFUNCTION("""COMPUTED_VALUE"""),"49
42")</f>
        <v>49
42</v>
      </c>
      <c r="F25" s="31" t="str">
        <f>IFERROR(__xludf.DUMMYFUNCTION("""COMPUTED_VALUE"""),"52
45")</f>
        <v>52
45</v>
      </c>
      <c r="G25" s="31" t="str">
        <f>IFERROR(__xludf.DUMMYFUNCTION("""COMPUTED_VALUE"""),"--")</f>
        <v>--</v>
      </c>
      <c r="H25" s="41" t="str">
        <f>IFERROR(__xludf.DUMMYFUNCTION("""COMPUTED_VALUE"""),"Sniflheim: 5500")</f>
        <v>Sniflheim: 5500</v>
      </c>
      <c r="I25" s="41"/>
    </row>
    <row r="26">
      <c r="A26" s="14" t="str">
        <f>IFERROR(__xludf.DUMMYFUNCTION("""COMPUTED_VALUE"""),"Magical Skirt")</f>
        <v>Magical Skirt</v>
      </c>
      <c r="B26" s="30" t="str">
        <f>IFERROR(__xludf.DUMMYFUNCTION("""COMPUTED_VALUE"""),"Defence
Magic Might
Magic Mend")</f>
        <v>Defence
Magic Might
Magic Mend</v>
      </c>
      <c r="C26" s="30" t="str">
        <f>IFERROR(__xludf.DUMMYFUNCTION("""COMPUTED_VALUE"""),"45
16
15")</f>
        <v>45
16
15</v>
      </c>
      <c r="D26" s="30" t="str">
        <f>IFERROR(__xludf.DUMMYFUNCTION("""COMPUTED_VALUE"""),"47
17
16")</f>
        <v>47
17
16</v>
      </c>
      <c r="E26" s="30" t="str">
        <f>IFERROR(__xludf.DUMMYFUNCTION("""COMPUTED_VALUE"""),"50
18
18")</f>
        <v>50
18
18</v>
      </c>
      <c r="F26" s="30" t="str">
        <f>IFERROR(__xludf.DUMMYFUNCTION("""COMPUTED_VALUE"""),"53
20
20")</f>
        <v>53
20
20</v>
      </c>
      <c r="G26" s="30" t="str">
        <f>IFERROR(__xludf.DUMMYFUNCTION("""COMPUTED_VALUE"""),"Elemental Damage Reduction (7%)")</f>
        <v>Elemental Damage Reduction (7%)</v>
      </c>
      <c r="H26" s="58" t="str">
        <f>IFERROR(__xludf.DUMMYFUNCTION("""COMPUTED_VALUE"""),"L'Academie, Sniflheim: 6700")</f>
        <v>L'Academie, Sniflheim: 6700</v>
      </c>
      <c r="I26" s="45"/>
    </row>
    <row r="27">
      <c r="A27" s="10" t="str">
        <f>IFERROR(__xludf.DUMMYFUNCTION("""COMPUTED_VALUE"""),"Agility Gilet")</f>
        <v>Agility Gilet</v>
      </c>
      <c r="B27" s="31" t="str">
        <f>IFERROR(__xludf.DUMMYFUNCTION("""COMPUTED_VALUE"""),"Defence
Agility
Charm")</f>
        <v>Defence
Agility
Charm</v>
      </c>
      <c r="C27" s="31" t="str">
        <f>IFERROR(__xludf.DUMMYFUNCTION("""COMPUTED_VALUE"""),"45
15
38")</f>
        <v>45
15
38</v>
      </c>
      <c r="D27" s="31" t="str">
        <f>IFERROR(__xludf.DUMMYFUNCTION("""COMPUTED_VALUE"""),"47
16
40")</f>
        <v>47
16
40</v>
      </c>
      <c r="E27" s="31" t="str">
        <f>IFERROR(__xludf.DUMMYFUNCTION("""COMPUTED_VALUE"""),"50
18
43")</f>
        <v>50
18
43</v>
      </c>
      <c r="F27" s="31" t="str">
        <f>IFERROR(__xludf.DUMMYFUNCTION("""COMPUTED_VALUE"""),"53
20
46")</f>
        <v>53
20
46</v>
      </c>
      <c r="G27" s="31" t="str">
        <f>IFERROR(__xludf.DUMMYFUNCTION("""COMPUTED_VALUE"""),"--")</f>
        <v>--</v>
      </c>
      <c r="H27" s="41" t="str">
        <f>IFERROR(__xludf.DUMMYFUNCTION("""COMPUTED_VALUE"""),"Mini Medal Stamp: 45")</f>
        <v>Mini Medal Stamp: 45</v>
      </c>
      <c r="I27" s="46"/>
    </row>
    <row r="28">
      <c r="A28" s="14" t="str">
        <f>IFERROR(__xludf.DUMMYFUNCTION("""COMPUTED_VALUE"""),"Fizzle-Retardant Suit")</f>
        <v>Fizzle-Retardant Suit</v>
      </c>
      <c r="B28" s="30" t="str">
        <f>IFERROR(__xludf.DUMMYFUNCTION("""COMPUTED_VALUE"""),"Defence
Magic Might")</f>
        <v>Defence
Magic Might</v>
      </c>
      <c r="C28" s="30" t="str">
        <f>IFERROR(__xludf.DUMMYFUNCTION("""COMPUTED_VALUE"""),"40
16")</f>
        <v>40
16</v>
      </c>
      <c r="D28" s="30" t="str">
        <f>IFERROR(__xludf.DUMMYFUNCTION("""COMPUTED_VALUE"""),"42
17")</f>
        <v>42
17</v>
      </c>
      <c r="E28" s="30" t="str">
        <f>IFERROR(__xludf.DUMMYFUNCTION("""COMPUTED_VALUE"""),"44
18")</f>
        <v>44
18</v>
      </c>
      <c r="F28" s="30" t="str">
        <f>IFERROR(__xludf.DUMMYFUNCTION("""COMPUTED_VALUE"""),"47
20")</f>
        <v>47
20</v>
      </c>
      <c r="G28" s="30" t="str">
        <f>IFERROR(__xludf.DUMMYFUNCTION("""COMPUTED_VALUE"""),"Spell-Sealing Protection (30%)")</f>
        <v>Spell-Sealing Protection (30%)</v>
      </c>
      <c r="H28" s="42" t="str">
        <f>IFERROR(__xludf.DUMMYFUNCTION("""COMPUTED_VALUE"""),"Recipe: Making the Magic Happen
Rare: Old Man of the Sea")</f>
        <v>Recipe: Making the Magic Happen
Rare: Old Man of the Sea</v>
      </c>
      <c r="I28" s="42" t="str">
        <f>IFERROR(__xludf.DUMMYFUNCTION("""COMPUTED_VALUE"""),"Silkblossom: 2
Oasis Water: 1
Belle Cap: 1")</f>
        <v>Silkblossom: 2
Oasis Water: 1
Belle Cap: 1</v>
      </c>
    </row>
    <row r="29">
      <c r="A29" s="10" t="str">
        <f>IFERROR(__xludf.DUMMYFUNCTION("""COMPUTED_VALUE"""),"Spangled Dress")</f>
        <v>Spangled Dress</v>
      </c>
      <c r="B29" s="31" t="str">
        <f>IFERROR(__xludf.DUMMYFUNCTION("""COMPUTED_VALUE"""),"Defence
Charm")</f>
        <v>Defence
Charm</v>
      </c>
      <c r="C29" s="31" t="str">
        <f>IFERROR(__xludf.DUMMYFUNCTION("""COMPUTED_VALUE"""),"46
39")</f>
        <v>46
39</v>
      </c>
      <c r="D29" s="31" t="str">
        <f>IFERROR(__xludf.DUMMYFUNCTION("""COMPUTED_VALUE"""),"48
42")</f>
        <v>48
42</v>
      </c>
      <c r="E29" s="31" t="str">
        <f>IFERROR(__xludf.DUMMYFUNCTION("""COMPUTED_VALUE"""),"51
45")</f>
        <v>51
45</v>
      </c>
      <c r="F29" s="31" t="str">
        <f>IFERROR(__xludf.DUMMYFUNCTION("""COMPUTED_VALUE"""),"54
48")</f>
        <v>54
48</v>
      </c>
      <c r="G29" s="31" t="str">
        <f>IFERROR(__xludf.DUMMYFUNCTION("""COMPUTED_VALUE"""),"--")</f>
        <v>--</v>
      </c>
      <c r="H29" s="41" t="str">
        <f>IFERROR(__xludf.DUMMYFUNCTION("""COMPUTED_VALUE"""),"Puerto Valor Casino: 25000")</f>
        <v>Puerto Valor Casino: 25000</v>
      </c>
      <c r="I29" s="46"/>
    </row>
    <row r="30">
      <c r="A30" s="55" t="str">
        <f>IFERROR(__xludf.DUMMYFUNCTION("""COMPUTED_VALUE"""),"Drasilian Dress Coat")</f>
        <v>Drasilian Dress Coat</v>
      </c>
      <c r="B30" s="30" t="str">
        <f>IFERROR(__xludf.DUMMYFUNCTION("""COMPUTED_VALUE"""),"Defence
Magic Might
Magic Mend
Charm")</f>
        <v>Defence
Magic Might
Magic Mend
Charm</v>
      </c>
      <c r="C30" s="30" t="str">
        <f>IFERROR(__xludf.DUMMYFUNCTION("""COMPUTED_VALUE"""),"47
10
16
21")</f>
        <v>47
10
16
21</v>
      </c>
      <c r="D30" s="30" t="str">
        <f>IFERROR(__xludf.DUMMYFUNCTION("""COMPUTED_VALUE"""),"49
11
17
22")</f>
        <v>49
11
17
22</v>
      </c>
      <c r="E30" s="30" t="str">
        <f>IFERROR(__xludf.DUMMYFUNCTION("""COMPUTED_VALUE"""),"51
11
18
24")</f>
        <v>51
11
18
24</v>
      </c>
      <c r="F30" s="30" t="str">
        <f>IFERROR(__xludf.DUMMYFUNCTION("""COMPUTED_VALUE"""),"54
12
20
26")</f>
        <v>54
12
20
26</v>
      </c>
      <c r="G30" s="30" t="str">
        <f>IFERROR(__xludf.DUMMYFUNCTION("""COMPUTED_VALUE"""),"Spell-Sealing Protection (10/15/20/25%)
Confusion Protection (10/15/20/25%)
Beguilement Protection (10/15/20/25%)")</f>
        <v>Spell-Sealing Protection (10/15/20/25%)
Confusion Protection (10/15/20/25%)
Beguilement Protection (10/15/20/25%)</v>
      </c>
      <c r="H30" s="42" t="str">
        <f>IFERROR(__xludf.DUMMYFUNCTION("""COMPUTED_VALUE"""),"Recipe: Dress Like a Drasilian")</f>
        <v>Recipe: Dress Like a Drasilian</v>
      </c>
      <c r="I30" s="42" t="str">
        <f>IFERROR(__xludf.DUMMYFUNCTION("""COMPUTED_VALUE"""),"Silkblossom: 3
Glimmergrass: 1
Red Eye: 1")</f>
        <v>Silkblossom: 3
Glimmergrass: 1
Red Eye: 1</v>
      </c>
    </row>
    <row r="31">
      <c r="A31" s="53" t="str">
        <f>IFERROR(__xludf.DUMMYFUNCTION("""COMPUTED_VALUE"""),"Posh Waistcoat")</f>
        <v>Posh Waistcoat</v>
      </c>
      <c r="B31" s="31" t="str">
        <f>IFERROR(__xludf.DUMMYFUNCTION("""COMPUTED_VALUE"""),"Defence
Charm")</f>
        <v>Defence
Charm</v>
      </c>
      <c r="C31" s="31" t="str">
        <f>IFERROR(__xludf.DUMMYFUNCTION("""COMPUTED_VALUE"""),"48
40")</f>
        <v>48
40</v>
      </c>
      <c r="D31" s="31" t="str">
        <f>IFERROR(__xludf.DUMMYFUNCTION("""COMPUTED_VALUE"""),"50
43")</f>
        <v>50
43</v>
      </c>
      <c r="E31" s="31" t="str">
        <f>IFERROR(__xludf.DUMMYFUNCTION("""COMPUTED_VALUE"""),"52
46")</f>
        <v>52
46</v>
      </c>
      <c r="F31" s="31" t="str">
        <f>IFERROR(__xludf.DUMMYFUNCTION("""COMPUTED_VALUE"""),"55
49")</f>
        <v>55
49</v>
      </c>
      <c r="G31" s="31" t="str">
        <f>IFERROR(__xludf.DUMMYFUNCTION("""COMPUTED_VALUE"""),"--")</f>
        <v>--</v>
      </c>
      <c r="H31" s="41" t="str">
        <f>IFERROR(__xludf.DUMMYFUNCTION("""COMPUTED_VALUE"""),"Recipe: Fine and Dandy Designs")</f>
        <v>Recipe: Fine and Dandy Designs</v>
      </c>
      <c r="I31" s="41" t="str">
        <f>IFERROR(__xludf.DUMMYFUNCTION("""COMPUTED_VALUE"""),"Glimmergrass: 2
Sparkly Sap: 1
Mirrorstone: 1")</f>
        <v>Glimmergrass: 2
Sparkly Sap: 1
Mirrorstone: 1</v>
      </c>
    </row>
    <row r="32">
      <c r="A32" s="55" t="str">
        <f>IFERROR(__xludf.DUMMYFUNCTION("""COMPUTED_VALUE"""),"Mardi Garb")</f>
        <v>Mardi Garb</v>
      </c>
      <c r="B32" s="30" t="str">
        <f>IFERROR(__xludf.DUMMYFUNCTION("""COMPUTED_VALUE"""),"Defence
Charm")</f>
        <v>Defence
Charm</v>
      </c>
      <c r="C32" s="30" t="str">
        <f>IFERROR(__xludf.DUMMYFUNCTION("""COMPUTED_VALUE"""),"53
100")</f>
        <v>53
100</v>
      </c>
      <c r="D32" s="30" t="str">
        <f>IFERROR(__xludf.DUMMYFUNCTION("""COMPUTED_VALUE"""),"55
115")</f>
        <v>55
115</v>
      </c>
      <c r="E32" s="30" t="str">
        <f>IFERROR(__xludf.DUMMYFUNCTION("""COMPUTED_VALUE"""),"58
130")</f>
        <v>58
130</v>
      </c>
      <c r="F32" s="30" t="str">
        <f>IFERROR(__xludf.DUMMYFUNCTION("""COMPUTED_VALUE"""),"61
150")</f>
        <v>61
150</v>
      </c>
      <c r="G32" s="30" t="str">
        <f>IFERROR(__xludf.DUMMYFUNCTION("""COMPUTED_VALUE"""),"--")</f>
        <v>--</v>
      </c>
      <c r="H32" s="42" t="str">
        <f>IFERROR(__xludf.DUMMYFUNCTION("""COMPUTED_VALUE"""),"Story")</f>
        <v>Story</v>
      </c>
      <c r="I32" s="42"/>
    </row>
    <row r="33">
      <c r="A33" s="53" t="str">
        <f>IFERROR(__xludf.DUMMYFUNCTION("""COMPUTED_VALUE"""),"Star's Suit")</f>
        <v>Star's Suit</v>
      </c>
      <c r="B33" s="31" t="str">
        <f>IFERROR(__xludf.DUMMYFUNCTION("""COMPUTED_VALUE"""),"Defence
Charm")</f>
        <v>Defence
Charm</v>
      </c>
      <c r="C33" s="31" t="str">
        <f>IFERROR(__xludf.DUMMYFUNCTION("""COMPUTED_VALUE"""),"58
41")</f>
        <v>58
41</v>
      </c>
      <c r="D33" s="31" t="str">
        <f>IFERROR(__xludf.DUMMYFUNCTION("""COMPUTED_VALUE"""),"60
43")</f>
        <v>60
43</v>
      </c>
      <c r="E33" s="31" t="str">
        <f>IFERROR(__xludf.DUMMYFUNCTION("""COMPUTED_VALUE"""),"63
45")</f>
        <v>63
45</v>
      </c>
      <c r="F33" s="31" t="str">
        <f>IFERROR(__xludf.DUMMYFUNCTION("""COMPUTED_VALUE"""),"66
48")</f>
        <v>66
48</v>
      </c>
      <c r="G33" s="31" t="str">
        <f>IFERROR(__xludf.DUMMYFUNCTION("""COMPUTED_VALUE"""),"--")</f>
        <v>--</v>
      </c>
      <c r="H33" s="41" t="str">
        <f>IFERROR(__xludf.DUMMYFUNCTION("""COMPUTED_VALUE"""),"Puerto Valor: 7000")</f>
        <v>Puerto Valor: 7000</v>
      </c>
      <c r="I33" s="41"/>
    </row>
    <row r="34">
      <c r="A34" s="54" t="str">
        <f>IFERROR(__xludf.DUMMYFUNCTION("""COMPUTED_VALUE"""),"Velvet Cape")</f>
        <v>Velvet Cape</v>
      </c>
      <c r="B34" s="30" t="str">
        <f>IFERROR(__xludf.DUMMYFUNCTION("""COMPUTED_VALUE"""),"Defence
Charm")</f>
        <v>Defence
Charm</v>
      </c>
      <c r="C34" s="30" t="str">
        <f>IFERROR(__xludf.DUMMYFUNCTION("""COMPUTED_VALUE"""),"60
53")</f>
        <v>60
53</v>
      </c>
      <c r="D34" s="30" t="str">
        <f>IFERROR(__xludf.DUMMYFUNCTION("""COMPUTED_VALUE"""),"62
56")</f>
        <v>62
56</v>
      </c>
      <c r="E34" s="30" t="str">
        <f>IFERROR(__xludf.DUMMYFUNCTION("""COMPUTED_VALUE"""),"64
59")</f>
        <v>64
59</v>
      </c>
      <c r="F34" s="30" t="str">
        <f>IFERROR(__xludf.DUMMYFUNCTION("""COMPUTED_VALUE"""),"67
62")</f>
        <v>67
62</v>
      </c>
      <c r="G34" s="30" t="str">
        <f>IFERROR(__xludf.DUMMYFUNCTION("""COMPUTED_VALUE"""),"--")</f>
        <v>--</v>
      </c>
      <c r="H34" s="42" t="str">
        <f>IFERROR(__xludf.DUMMYFUNCTION("""COMPUTED_VALUE"""),"Gallopolis, Octagonia, Lonalulu: 9400
Rare: Heavy Hood")</f>
        <v>Gallopolis, Octagonia, Lonalulu: 9400
Rare: Heavy Hood</v>
      </c>
      <c r="I34" s="42"/>
    </row>
    <row r="35">
      <c r="A35" s="53" t="str">
        <f>IFERROR(__xludf.DUMMYFUNCTION("""COMPUTED_VALUE"""),"Rogue's Robes")</f>
        <v>Rogue's Robes</v>
      </c>
      <c r="B35" s="31" t="str">
        <f>IFERROR(__xludf.DUMMYFUNCTION("""COMPUTED_VALUE"""),"Defence
Deftness
Charm")</f>
        <v>Defence
Deftness
Charm</v>
      </c>
      <c r="C35" s="31" t="str">
        <f>IFERROR(__xludf.DUMMYFUNCTION("""COMPUTED_VALUE"""),"61
23
55")</f>
        <v>61
23
55</v>
      </c>
      <c r="D35" s="31" t="str">
        <f>IFERROR(__xludf.DUMMYFUNCTION("""COMPUTED_VALUE"""),"63
24
58")</f>
        <v>63
24
58</v>
      </c>
      <c r="E35" s="31" t="str">
        <f>IFERROR(__xludf.DUMMYFUNCTION("""COMPUTED_VALUE"""),"65
25
61")</f>
        <v>65
25
61</v>
      </c>
      <c r="F35" s="31" t="str">
        <f>IFERROR(__xludf.DUMMYFUNCTION("""COMPUTED_VALUE"""),"68
27
64")</f>
        <v>68
27
64</v>
      </c>
      <c r="G35" s="31" t="str">
        <f>IFERROR(__xludf.DUMMYFUNCTION("""COMPUTED_VALUE"""),"--")</f>
        <v>--</v>
      </c>
      <c r="H35" s="41" t="str">
        <f>IFERROR(__xludf.DUMMYFUNCTION("""COMPUTED_VALUE"""),"Wheel of Harma - Second Trial (20 Moves)")</f>
        <v>Wheel of Harma - Second Trial (20 Moves)</v>
      </c>
      <c r="I35" s="41"/>
    </row>
    <row r="36">
      <c r="A36" s="54" t="str">
        <f>IFERROR(__xludf.DUMMYFUNCTION("""COMPUTED_VALUE"""),"Dragon Dojo Duds")</f>
        <v>Dragon Dojo Duds</v>
      </c>
      <c r="B36" s="30" t="str">
        <f>IFERROR(__xludf.DUMMYFUNCTION("""COMPUTED_VALUE"""),"Defence")</f>
        <v>Defence</v>
      </c>
      <c r="C36" s="30">
        <f>IFERROR(__xludf.DUMMYFUNCTION("""COMPUTED_VALUE"""),62.0)</f>
        <v>62</v>
      </c>
      <c r="D36" s="30">
        <f>IFERROR(__xludf.DUMMYFUNCTION("""COMPUTED_VALUE"""),64.0)</f>
        <v>64</v>
      </c>
      <c r="E36" s="30">
        <f>IFERROR(__xludf.DUMMYFUNCTION("""COMPUTED_VALUE"""),67.0)</f>
        <v>67</v>
      </c>
      <c r="F36" s="30">
        <f>IFERROR(__xludf.DUMMYFUNCTION("""COMPUTED_VALUE"""),70.0)</f>
        <v>70</v>
      </c>
      <c r="G36" s="30" t="str">
        <f>IFERROR(__xludf.DUMMYFUNCTION("""COMPUTED_VALUE"""),"Fire Damage Reduction (25%)
Ice Damage Reduction (25%)")</f>
        <v>Fire Damage Reduction (25%)
Ice Damage Reduction (25%)</v>
      </c>
      <c r="H36" s="42" t="str">
        <f>IFERROR(__xludf.DUMMYFUNCTION("""COMPUTED_VALUE"""),"Wheel of Harma - Second Trial (10 Moves)")</f>
        <v>Wheel of Harma - Second Trial (10 Moves)</v>
      </c>
      <c r="I36" s="42"/>
    </row>
    <row r="37">
      <c r="A37" s="53" t="str">
        <f>IFERROR(__xludf.DUMMYFUNCTION("""COMPUTED_VALUE"""),"Brigandine")</f>
        <v>Brigandine</v>
      </c>
      <c r="B37" s="31" t="str">
        <f>IFERROR(__xludf.DUMMYFUNCTION("""COMPUTED_VALUE"""),"Defence")</f>
        <v>Defence</v>
      </c>
      <c r="C37" s="31">
        <f>IFERROR(__xludf.DUMMYFUNCTION("""COMPUTED_VALUE"""),66.0)</f>
        <v>66</v>
      </c>
      <c r="D37" s="31">
        <f>IFERROR(__xludf.DUMMYFUNCTION("""COMPUTED_VALUE"""),68.0)</f>
        <v>68</v>
      </c>
      <c r="E37" s="31">
        <f>IFERROR(__xludf.DUMMYFUNCTION("""COMPUTED_VALUE"""),70.0)</f>
        <v>70</v>
      </c>
      <c r="F37" s="31">
        <f>IFERROR(__xludf.DUMMYFUNCTION("""COMPUTED_VALUE"""),73.0)</f>
        <v>73</v>
      </c>
      <c r="G37" s="31" t="str">
        <f>IFERROR(__xludf.DUMMYFUNCTION("""COMPUTED_VALUE"""),"--")</f>
        <v>--</v>
      </c>
      <c r="H37" s="41" t="str">
        <f>IFERROR(__xludf.DUMMYFUNCTION("""COMPUTED_VALUE"""),"Hotto, Gallopolis, Lonalulu: 11000")</f>
        <v>Hotto, Gallopolis, Lonalulu: 11000</v>
      </c>
      <c r="I37" s="41"/>
    </row>
    <row r="38">
      <c r="A38" s="54" t="str">
        <f>IFERROR(__xludf.DUMMYFUNCTION("""COMPUTED_VALUE"""),"Macabre Mantle")</f>
        <v>Macabre Mantle</v>
      </c>
      <c r="B38" s="30" t="str">
        <f>IFERROR(__xludf.DUMMYFUNCTION("""COMPUTED_VALUE"""),"Defence
Evasion %")</f>
        <v>Defence
Evasion %</v>
      </c>
      <c r="C38" s="30" t="str">
        <f>IFERROR(__xludf.DUMMYFUNCTION("""COMPUTED_VALUE"""),"66
3")</f>
        <v>66
3</v>
      </c>
      <c r="D38" s="30" t="str">
        <f>IFERROR(__xludf.DUMMYFUNCTION("""COMPUTED_VALUE"""),"68
4")</f>
        <v>68
4</v>
      </c>
      <c r="E38" s="30" t="str">
        <f>IFERROR(__xludf.DUMMYFUNCTION("""COMPUTED_VALUE"""),"70
4")</f>
        <v>70
4</v>
      </c>
      <c r="F38" s="30" t="str">
        <f>IFERROR(__xludf.DUMMYFUNCTION("""COMPUTED_VALUE"""),"72
5")</f>
        <v>72
5</v>
      </c>
      <c r="G38" s="30" t="str">
        <f>IFERROR(__xludf.DUMMYFUNCTION("""COMPUTED_VALUE"""),"--")</f>
        <v>--</v>
      </c>
      <c r="H38" s="42" t="str">
        <f>IFERROR(__xludf.DUMMYFUNCTION("""COMPUTED_VALUE"""),"Hotto, Gallopolis, Sniflheim: 11000
Common: Hell's Gatekeeper")</f>
        <v>Hotto, Gallopolis, Sniflheim: 11000
Common: Hell's Gatekeeper</v>
      </c>
      <c r="I38" s="42"/>
    </row>
    <row r="39">
      <c r="A39" s="56" t="str">
        <f>IFERROR(__xludf.DUMMYFUNCTION("""COMPUTED_VALUE"""),"Scandalous Swimsuit")</f>
        <v>Scandalous Swimsuit</v>
      </c>
      <c r="B39" s="31" t="str">
        <f>IFERROR(__xludf.DUMMYFUNCTION("""COMPUTED_VALUE"""),"Defence
Charm")</f>
        <v>Defence
Charm</v>
      </c>
      <c r="C39" s="31" t="str">
        <f>IFERROR(__xludf.DUMMYFUNCTION("""COMPUTED_VALUE"""),"1
100")</f>
        <v>1
100</v>
      </c>
      <c r="D39" s="31" t="str">
        <f>IFERROR(__xludf.DUMMYFUNCTION("""COMPUTED_VALUE"""),"1
115")</f>
        <v>1
115</v>
      </c>
      <c r="E39" s="31" t="str">
        <f>IFERROR(__xludf.DUMMYFUNCTION("""COMPUTED_VALUE"""),"1
130")</f>
        <v>1
130</v>
      </c>
      <c r="F39" s="31" t="str">
        <f>IFERROR(__xludf.DUMMYFUNCTION("""COMPUTED_VALUE"""),"1
150")</f>
        <v>1
150</v>
      </c>
      <c r="G39" s="31" t="str">
        <f>IFERROR(__xludf.DUMMYFUNCTION("""COMPUTED_VALUE"""),"--")</f>
        <v>--</v>
      </c>
      <c r="H39" s="41" t="str">
        <f>IFERROR(__xludf.DUMMYFUNCTION("""COMPUTED_VALUE"""),"Octagonia Casino: 70000
Rare: Merking")</f>
        <v>Octagonia Casino: 70000
Rare: Merking</v>
      </c>
      <c r="I39" s="41"/>
    </row>
    <row r="40">
      <c r="A40" s="54" t="str">
        <f>IFERROR(__xludf.DUMMYFUNCTION("""COMPUTED_VALUE"""),"Twinkling Tuxedo")</f>
        <v>Twinkling Tuxedo</v>
      </c>
      <c r="B40" s="30" t="str">
        <f>IFERROR(__xludf.DUMMYFUNCTION("""COMPUTED_VALUE"""),"Defence
Charm")</f>
        <v>Defence
Charm</v>
      </c>
      <c r="C40" s="30" t="str">
        <f>IFERROR(__xludf.DUMMYFUNCTION("""COMPUTED_VALUE"""),"67
62")</f>
        <v>67
62</v>
      </c>
      <c r="D40" s="30" t="str">
        <f>IFERROR(__xludf.DUMMYFUNCTION("""COMPUTED_VALUE"""),"69
65")</f>
        <v>69
65</v>
      </c>
      <c r="E40" s="30" t="str">
        <f>IFERROR(__xludf.DUMMYFUNCTION("""COMPUTED_VALUE"""),"72
68")</f>
        <v>72
68</v>
      </c>
      <c r="F40" s="30" t="str">
        <f>IFERROR(__xludf.DUMMYFUNCTION("""COMPUTED_VALUE"""),"75
71")</f>
        <v>75
71</v>
      </c>
      <c r="G40" s="30" t="str">
        <f>IFERROR(__xludf.DUMMYFUNCTION("""COMPUTED_VALUE"""),"Chance of Reflecting Incoming Spells (20%)")</f>
        <v>Chance of Reflecting Incoming Spells (20%)</v>
      </c>
      <c r="H40" s="42" t="str">
        <f>IFERROR(__xludf.DUMMYFUNCTION("""COMPUTED_VALUE"""),"Octagonia Casino: 200000
Recipe: Gear that Glitters")</f>
        <v>Octagonia Casino: 200000
Recipe: Gear that Glitters</v>
      </c>
      <c r="I40" s="42" t="str">
        <f>IFERROR(__xludf.DUMMYFUNCTION("""COMPUTED_VALUE"""),"Glimmergrass: 2
Silkblossom: 2
Brighten Rock: 2
Sparkly Sap: 2")</f>
        <v>Glimmergrass: 2
Silkblossom: 2
Brighten Rock: 2
Sparkly Sap: 2</v>
      </c>
    </row>
    <row r="41">
      <c r="A41" s="53" t="str">
        <f>IFERROR(__xludf.DUMMYFUNCTION("""COMPUTED_VALUE"""),"Shimmering Dress")</f>
        <v>Shimmering Dress</v>
      </c>
      <c r="B41" s="31" t="str">
        <f>IFERROR(__xludf.DUMMYFUNCTION("""COMPUTED_VALUE"""),"Defence
Charm")</f>
        <v>Defence
Charm</v>
      </c>
      <c r="C41" s="31" t="str">
        <f>IFERROR(__xludf.DUMMYFUNCTION("""COMPUTED_VALUE"""),"67
62")</f>
        <v>67
62</v>
      </c>
      <c r="D41" s="31" t="str">
        <f>IFERROR(__xludf.DUMMYFUNCTION("""COMPUTED_VALUE"""),"69
65")</f>
        <v>69
65</v>
      </c>
      <c r="E41" s="31" t="str">
        <f>IFERROR(__xludf.DUMMYFUNCTION("""COMPUTED_VALUE"""),"72
68")</f>
        <v>72
68</v>
      </c>
      <c r="F41" s="31" t="str">
        <f>IFERROR(__xludf.DUMMYFUNCTION("""COMPUTED_VALUE"""),"75
71")</f>
        <v>75
71</v>
      </c>
      <c r="G41" s="31" t="str">
        <f>IFERROR(__xludf.DUMMYFUNCTION("""COMPUTED_VALUE"""),"Chance of Reflecting Incoming Spells (20%)")</f>
        <v>Chance of Reflecting Incoming Spells (20%)</v>
      </c>
      <c r="H41" s="41" t="str">
        <f>IFERROR(__xludf.DUMMYFUNCTION("""COMPUTED_VALUE"""),"Octagonia Casino: 200000
Recipe: Gear that Glitters")</f>
        <v>Octagonia Casino: 200000
Recipe: Gear that Glitters</v>
      </c>
      <c r="I41" s="41" t="str">
        <f>IFERROR(__xludf.DUMMYFUNCTION("""COMPUTED_VALUE"""),"Glimmergrass: 2
Pink Pearl: 2
Brighten Rock: 2
Sparkly Sap: 2")</f>
        <v>Glimmergrass: 2
Pink Pearl: 2
Brighten Rock: 2
Sparkly Sap: 2</v>
      </c>
    </row>
    <row r="42">
      <c r="A42" s="54" t="str">
        <f>IFERROR(__xludf.DUMMYFUNCTION("""COMPUTED_VALUE"""),"Liquid Metal Jacket")</f>
        <v>Liquid Metal Jacket</v>
      </c>
      <c r="B42" s="30" t="str">
        <f>IFERROR(__xludf.DUMMYFUNCTION("""COMPUTED_VALUE"""),"Defence
Evasion %")</f>
        <v>Defence
Evasion %</v>
      </c>
      <c r="C42" s="30" t="str">
        <f>IFERROR(__xludf.DUMMYFUNCTION("""COMPUTED_VALUE"""),"70
6")</f>
        <v>70
6</v>
      </c>
      <c r="D42" s="30" t="str">
        <f>IFERROR(__xludf.DUMMYFUNCTION("""COMPUTED_VALUE"""),"72
7")</f>
        <v>72
7</v>
      </c>
      <c r="E42" s="30" t="str">
        <f>IFERROR(__xludf.DUMMYFUNCTION("""COMPUTED_VALUE"""),"75
7")</f>
        <v>75
7</v>
      </c>
      <c r="F42" s="30" t="str">
        <f>IFERROR(__xludf.DUMMYFUNCTION("""COMPUTED_VALUE"""),"78
8")</f>
        <v>78
8</v>
      </c>
      <c r="G42" s="30" t="str">
        <f>IFERROR(__xludf.DUMMYFUNCTION("""COMPUTED_VALUE"""),"Elemental Damage Reduction (10%)")</f>
        <v>Elemental Damage Reduction (10%)</v>
      </c>
      <c r="H42" s="42" t="str">
        <f>IFERROR(__xludf.DUMMYFUNCTION("""COMPUTED_VALUE"""),"Chest: 
Recipe: In Fine Fettle with Liquid Metal")</f>
        <v>Chest: 
Recipe: In Fine Fettle with Liquid Metal</v>
      </c>
      <c r="I42" s="42" t="str">
        <f>IFERROR(__xludf.DUMMYFUNCTION("""COMPUTED_VALUE"""),"Molten Globules: 1
Goobricant: 1
Dragon Hide: 2
Colourful Cocoon: 2")</f>
        <v>Molten Globules: 1
Goobricant: 1
Dragon Hide: 2
Colourful Cocoon: 2</v>
      </c>
    </row>
    <row r="43">
      <c r="A43" s="56" t="str">
        <f>IFERROR(__xludf.DUMMYFUNCTION("""COMPUTED_VALUE"""),"Corsair's Coat")</f>
        <v>Corsair's Coat</v>
      </c>
      <c r="B43" s="31" t="str">
        <f>IFERROR(__xludf.DUMMYFUNCTION("""COMPUTED_VALUE"""),"Defence
Evasion %
Agility
Charm")</f>
        <v>Defence
Evasion %
Agility
Charm</v>
      </c>
      <c r="C43" s="31" t="str">
        <f>IFERROR(__xludf.DUMMYFUNCTION("""COMPUTED_VALUE"""),"78
4
24
47")</f>
        <v>78
4
24
47</v>
      </c>
      <c r="D43" s="31" t="str">
        <f>IFERROR(__xludf.DUMMYFUNCTION("""COMPUTED_VALUE"""),"80
4
25
49")</f>
        <v>80
4
25
49</v>
      </c>
      <c r="E43" s="31" t="str">
        <f>IFERROR(__xludf.DUMMYFUNCTION("""COMPUTED_VALUE"""),"82
4
26
51")</f>
        <v>82
4
26
51</v>
      </c>
      <c r="F43" s="31" t="str">
        <f>IFERROR(__xludf.DUMMYFUNCTION("""COMPUTED_VALUE"""),"86
4
27
54")</f>
        <v>86
4
27
54</v>
      </c>
      <c r="G43" s="31" t="str">
        <f>IFERROR(__xludf.DUMMYFUNCTION("""COMPUTED_VALUE"""),"Wind Damage Reduction (20%)")</f>
        <v>Wind Damage Reduction (20%)</v>
      </c>
      <c r="H43" s="41" t="str">
        <f>IFERROR(__xludf.DUMMYFUNCTION("""COMPUTED_VALUE"""),"Nautica: 18000")</f>
        <v>Nautica: 18000</v>
      </c>
      <c r="I43" s="41"/>
    </row>
    <row r="44">
      <c r="A44" s="55" t="str">
        <f>IFERROR(__xludf.DUMMYFUNCTION("""COMPUTED_VALUE"""),"Saintess Dress")</f>
        <v>Saintess Dress</v>
      </c>
      <c r="B44" s="30" t="str">
        <f>IFERROR(__xludf.DUMMYFUNCTION("""COMPUTED_VALUE"""),"Defence
Magic Mend
Charm")</f>
        <v>Defence
Magic Mend
Charm</v>
      </c>
      <c r="C44" s="30" t="str">
        <f>IFERROR(__xludf.DUMMYFUNCTION("""COMPUTED_VALUE"""),"66
29
65")</f>
        <v>66
29
65</v>
      </c>
      <c r="D44" s="30" t="str">
        <f>IFERROR(__xludf.DUMMYFUNCTION("""COMPUTED_VALUE"""),"68
30
68")</f>
        <v>68
30
68</v>
      </c>
      <c r="E44" s="30" t="str">
        <f>IFERROR(__xludf.DUMMYFUNCTION("""COMPUTED_VALUE"""),"71
32
71")</f>
        <v>71
32
71</v>
      </c>
      <c r="F44" s="30" t="str">
        <f>IFERROR(__xludf.DUMMYFUNCTION("""COMPUTED_VALUE"""),"75
34
75")</f>
        <v>75
34
75</v>
      </c>
      <c r="G44" s="30" t="str">
        <f>IFERROR(__xludf.DUMMYFUNCTION("""COMPUTED_VALUE"""),"Dark Damage Reduction (20%)")</f>
        <v>Dark Damage Reduction (20%)</v>
      </c>
      <c r="H44" s="42" t="str">
        <f>IFERROR(__xludf.DUMMYFUNCTION("""COMPUTED_VALUE"""),"Recipe: Sacred Styles for Saintly Ladies")</f>
        <v>Recipe: Sacred Styles for Saintly Ladies</v>
      </c>
      <c r="I44" s="42" t="str">
        <f>IFERROR(__xludf.DUMMYFUNCTION("""COMPUTED_VALUE"""),"Colourful Cocoon: 2
Pale Pearl: 3
Mirrorstone: 2
Sainted Soma: 1")</f>
        <v>Colourful Cocoon: 2
Pale Pearl: 3
Mirrorstone: 2
Sainted Soma: 1</v>
      </c>
    </row>
    <row r="45">
      <c r="A45" s="56" t="str">
        <f>IFERROR(__xludf.DUMMYFUNCTION("""COMPUTED_VALUE"""),"Glad Rags")</f>
        <v>Glad Rags</v>
      </c>
      <c r="B45" s="31" t="str">
        <f>IFERROR(__xludf.DUMMYFUNCTION("""COMPUTED_VALUE"""),"Defence
Evasion %
Charm")</f>
        <v>Defence
Evasion %
Charm</v>
      </c>
      <c r="C45" s="31" t="str">
        <f>IFERROR(__xludf.DUMMYFUNCTION("""COMPUTED_VALUE"""),"70
4
52")</f>
        <v>70
4
52</v>
      </c>
      <c r="D45" s="31" t="str">
        <f>IFERROR(__xludf.DUMMYFUNCTION("""COMPUTED_VALUE"""),"72
4
54")</f>
        <v>72
4
54</v>
      </c>
      <c r="E45" s="31" t="str">
        <f>IFERROR(__xludf.DUMMYFUNCTION("""COMPUTED_VALUE"""),"75
4
56")</f>
        <v>75
4
56</v>
      </c>
      <c r="F45" s="31" t="str">
        <f>IFERROR(__xludf.DUMMYFUNCTION("""COMPUTED_VALUE"""),"79
4
60")</f>
        <v>79
4
60</v>
      </c>
      <c r="G45" s="31" t="str">
        <f>IFERROR(__xludf.DUMMYFUNCTION("""COMPUTED_VALUE"""),"--")</f>
        <v>--</v>
      </c>
      <c r="H45" s="41" t="str">
        <f>IFERROR(__xludf.DUMMYFUNCTION("""COMPUTED_VALUE"""),"Recipe: Glam Gear for Go-Getters")</f>
        <v>Recipe: Glam Gear for Go-Getters</v>
      </c>
      <c r="I45" s="41" t="str">
        <f>IFERROR(__xludf.DUMMYFUNCTION("""COMPUTED_VALUE"""),"Slipweed: 2
Royal Ruby: 1
Lambswool: 2
Love Potion: 3")</f>
        <v>Slipweed: 2
Royal Ruby: 1
Lambswool: 2
Love Potion: 3</v>
      </c>
    </row>
    <row r="46">
      <c r="A46" s="55" t="str">
        <f>IFERROR(__xludf.DUMMYFUNCTION("""COMPUTED_VALUE"""),"Pallium Regale")</f>
        <v>Pallium Regale</v>
      </c>
      <c r="B46" s="30" t="str">
        <f>IFERROR(__xludf.DUMMYFUNCTION("""COMPUTED_VALUE"""),"Defence
Magic Might
Magic Mend
Charm")</f>
        <v>Defence
Magic Might
Magic Mend
Charm</v>
      </c>
      <c r="C46" s="30" t="str">
        <f>IFERROR(__xludf.DUMMYFUNCTION("""COMPUTED_VALUE"""),"65
26
26
36")</f>
        <v>65
26
26
36</v>
      </c>
      <c r="D46" s="30" t="str">
        <f>IFERROR(__xludf.DUMMYFUNCTION("""COMPUTED_VALUE"""),"67
27
27
37")</f>
        <v>67
27
27
37</v>
      </c>
      <c r="E46" s="30" t="str">
        <f>IFERROR(__xludf.DUMMYFUNCTION("""COMPUTED_VALUE"""),"69
28
29
39")</f>
        <v>69
28
29
39</v>
      </c>
      <c r="F46" s="30" t="str">
        <f>IFERROR(__xludf.DUMMYFUNCTION("""COMPUTED_VALUE"""),"73
30
31
41")</f>
        <v>73
30
31
41</v>
      </c>
      <c r="G46" s="30" t="str">
        <f>IFERROR(__xludf.DUMMYFUNCTION("""COMPUTED_VALUE"""),"Elemental Damage Reduction (10%)")</f>
        <v>Elemental Damage Reduction (10%)</v>
      </c>
      <c r="H46" s="42" t="str">
        <f>IFERROR(__xludf.DUMMYFUNCTION("""COMPUTED_VALUE"""),"Recipe: Corking Kit for Kings")</f>
        <v>Recipe: Corking Kit for Kings</v>
      </c>
      <c r="I46" s="42" t="str">
        <f>IFERROR(__xludf.DUMMYFUNCTION("""COMPUTED_VALUE"""),"Techniclour Dreamcloth: 2
Fire Ball: 1
Royal Ruby: 2
Equable Emerald: 1")</f>
        <v>Techniclour Dreamcloth: 2
Fire Ball: 1
Royal Ruby: 2
Equable Emerald: 1</v>
      </c>
    </row>
    <row r="47">
      <c r="A47" s="56" t="str">
        <f>IFERROR(__xludf.DUMMYFUNCTION("""COMPUTED_VALUE"""),"Warrior Princess's Dress")</f>
        <v>Warrior Princess's Dress</v>
      </c>
      <c r="B47" s="31" t="str">
        <f>IFERROR(__xludf.DUMMYFUNCTION("""COMPUTED_VALUE"""),"Defence
Critical %
Agility
Charm")</f>
        <v>Defence
Critical %
Agility
Charm</v>
      </c>
      <c r="C47" s="31" t="str">
        <f>IFERROR(__xludf.DUMMYFUNCTION("""COMPUTED_VALUE"""),"69
1
24
65")</f>
        <v>69
1
24
65</v>
      </c>
      <c r="D47" s="31" t="str">
        <f>IFERROR(__xludf.DUMMYFUNCTION("""COMPUTED_VALUE"""),"71
1
25
68")</f>
        <v>71
1
25
68</v>
      </c>
      <c r="E47" s="31" t="str">
        <f>IFERROR(__xludf.DUMMYFUNCTION("""COMPUTED_VALUE"""),"74
1
26
71")</f>
        <v>74
1
26
71</v>
      </c>
      <c r="F47" s="31" t="str">
        <f>IFERROR(__xludf.DUMMYFUNCTION("""COMPUTED_VALUE"""),"78
1
27
75")</f>
        <v>78
1
27
75</v>
      </c>
      <c r="G47" s="31" t="str">
        <f>IFERROR(__xludf.DUMMYFUNCTION("""COMPUTED_VALUE"""),"--")</f>
        <v>--</v>
      </c>
      <c r="H47" s="41" t="str">
        <f>IFERROR(__xludf.DUMMYFUNCTION("""COMPUTED_VALUE"""),"Recipe: Pride of the Valkyries")</f>
        <v>Recipe: Pride of the Valkyries</v>
      </c>
      <c r="I47" s="41" t="str">
        <f>IFERROR(__xludf.DUMMYFUNCTION("""COMPUTED_VALUE"""),"Technicolour Dreamcloth: 1
Artful Amethyst: 2
Slipweed: 3
Sainted Soma: 1")</f>
        <v>Technicolour Dreamcloth: 1
Artful Amethyst: 2
Slipweed: 3
Sainted Soma: 1</v>
      </c>
    </row>
    <row r="48">
      <c r="A48" s="55" t="str">
        <f>IFERROR(__xludf.DUMMYFUNCTION("""COMPUTED_VALUE"""),"General's Jacket")</f>
        <v>General's Jacket</v>
      </c>
      <c r="B48" s="30" t="str">
        <f>IFERROR(__xludf.DUMMYFUNCTION("""COMPUTED_VALUE"""),"Defence
Max HP
Charm")</f>
        <v>Defence
Max HP
Charm</v>
      </c>
      <c r="C48" s="30" t="str">
        <f>IFERROR(__xludf.DUMMYFUNCTION("""COMPUTED_VALUE"""),"86
10
45")</f>
        <v>86
10
45</v>
      </c>
      <c r="D48" s="30" t="str">
        <f>IFERROR(__xludf.DUMMYFUNCTION("""COMPUTED_VALUE"""),"89
11
47")</f>
        <v>89
11
47</v>
      </c>
      <c r="E48" s="30" t="str">
        <f>IFERROR(__xludf.DUMMYFUNCTION("""COMPUTED_VALUE"""),"92
11
49")</f>
        <v>92
11
49</v>
      </c>
      <c r="F48" s="30" t="str">
        <f>IFERROR(__xludf.DUMMYFUNCTION("""COMPUTED_VALUE"""),"97
12
53")</f>
        <v>97
12
53</v>
      </c>
      <c r="G48" s="30" t="str">
        <f>IFERROR(__xludf.DUMMYFUNCTION("""COMPUTED_VALUE"""),"Dark Damage Reduction (10/15/20/25%)")</f>
        <v>Dark Damage Reduction (10/15/20/25%)</v>
      </c>
      <c r="H48" s="42" t="str">
        <f>IFERROR(__xludf.DUMMYFUNCTION("""COMPUTED_VALUE"""),"Recipe: General Directives")</f>
        <v>Recipe: General Directives</v>
      </c>
      <c r="I48" s="42" t="str">
        <f>IFERROR(__xludf.DUMMYFUNCTION("""COMPUTED_VALUE"""),"Technicolour Dreamcloth: 2
Evencloth: 3
Pitch Pearl: 2
Finessence: 1")</f>
        <v>Technicolour Dreamcloth: 2
Evencloth: 3
Pitch Pearl: 2
Finessence: 1</v>
      </c>
    </row>
    <row r="49">
      <c r="A49" s="53" t="str">
        <f>IFERROR(__xludf.DUMMYFUNCTION("""COMPUTED_VALUE"""),"Freebooter's Bolero")</f>
        <v>Freebooter's Bolero</v>
      </c>
      <c r="B49" s="31" t="str">
        <f>IFERROR(__xludf.DUMMYFUNCTION("""COMPUTED_VALUE"""),"Defence
Deftness
Agility")</f>
        <v>Defence
Deftness
Agility</v>
      </c>
      <c r="C49" s="31" t="str">
        <f>IFERROR(__xludf.DUMMYFUNCTION("""COMPUTED_VALUE"""),"72
29
25")</f>
        <v>72
29
25</v>
      </c>
      <c r="D49" s="31" t="str">
        <f>IFERROR(__xludf.DUMMYFUNCTION("""COMPUTED_VALUE"""),"74
30
26")</f>
        <v>74
30
26</v>
      </c>
      <c r="E49" s="31" t="str">
        <f>IFERROR(__xludf.DUMMYFUNCTION("""COMPUTED_VALUE"""),"77
31
27")</f>
        <v>77
31
27</v>
      </c>
      <c r="F49" s="31" t="str">
        <f>IFERROR(__xludf.DUMMYFUNCTION("""COMPUTED_VALUE"""),"81
33
28")</f>
        <v>81
33
28</v>
      </c>
      <c r="G49" s="31" t="str">
        <f>IFERROR(__xludf.DUMMYFUNCTION("""COMPUTED_VALUE"""),"--")</f>
        <v>--</v>
      </c>
      <c r="H49" s="41" t="str">
        <f>IFERROR(__xludf.DUMMYFUNCTION("""COMPUTED_VALUE"""),"Downtown: 16000")</f>
        <v>Downtown: 16000</v>
      </c>
      <c r="I49" s="41"/>
    </row>
    <row r="50">
      <c r="A50" s="54" t="str">
        <f>IFERROR(__xludf.DUMMYFUNCTION("""COMPUTED_VALUE"""),"Superstar's Suit")</f>
        <v>Superstar's Suit</v>
      </c>
      <c r="B50" s="30" t="str">
        <f>IFERROR(__xludf.DUMMYFUNCTION("""COMPUTED_VALUE"""),"Defence
Charm")</f>
        <v>Defence
Charm</v>
      </c>
      <c r="C50" s="30" t="str">
        <f>IFERROR(__xludf.DUMMYFUNCTION("""COMPUTED_VALUE"""),"68
54")</f>
        <v>68
54</v>
      </c>
      <c r="D50" s="30" t="str">
        <f>IFERROR(__xludf.DUMMYFUNCTION("""COMPUTED_VALUE"""),"71
56")</f>
        <v>71
56</v>
      </c>
      <c r="E50" s="30" t="str">
        <f>IFERROR(__xludf.DUMMYFUNCTION("""COMPUTED_VALUE"""),"74
59")</f>
        <v>74
59</v>
      </c>
      <c r="F50" s="30" t="str">
        <f>IFERROR(__xludf.DUMMYFUNCTION("""COMPUTED_VALUE"""),"77
62")</f>
        <v>77
62</v>
      </c>
      <c r="G50" s="30" t="str">
        <f>IFERROR(__xludf.DUMMYFUNCTION("""COMPUTED_VALUE"""),"--")</f>
        <v>--</v>
      </c>
      <c r="H50" s="42" t="str">
        <f>IFERROR(__xludf.DUMMYFUNCTION("""COMPUTED_VALUE"""),"Gallopolis: 13000")</f>
        <v>Gallopolis: 13000</v>
      </c>
      <c r="I50" s="42"/>
    </row>
    <row r="51">
      <c r="A51" s="53" t="str">
        <f>IFERROR(__xludf.DUMMYFUNCTION("""COMPUTED_VALUE"""),"Combat Costume")</f>
        <v>Combat Costume</v>
      </c>
      <c r="B51" s="31" t="str">
        <f>IFERROR(__xludf.DUMMYFUNCTION("""COMPUTED_VALUE"""),"Defence
Agility")</f>
        <v>Defence
Agility</v>
      </c>
      <c r="C51" s="31" t="str">
        <f>IFERROR(__xludf.DUMMYFUNCTION("""COMPUTED_VALUE"""),"69
25")</f>
        <v>69
25</v>
      </c>
      <c r="D51" s="31" t="str">
        <f>IFERROR(__xludf.DUMMYFUNCTION("""COMPUTED_VALUE"""),"71
26")</f>
        <v>71
26</v>
      </c>
      <c r="E51" s="31" t="str">
        <f>IFERROR(__xludf.DUMMYFUNCTION("""COMPUTED_VALUE"""),"74
27")</f>
        <v>74
27</v>
      </c>
      <c r="F51" s="31" t="str">
        <f>IFERROR(__xludf.DUMMYFUNCTION("""COMPUTED_VALUE"""),"78
28")</f>
        <v>78
28</v>
      </c>
      <c r="G51" s="31" t="str">
        <f>IFERROR(__xludf.DUMMYFUNCTION("""COMPUTED_VALUE"""),"--")</f>
        <v>--</v>
      </c>
      <c r="H51" s="41" t="str">
        <f>IFERROR(__xludf.DUMMYFUNCTION("""COMPUTED_VALUE"""),"Angri-La: 14000")</f>
        <v>Angri-La: 14000</v>
      </c>
      <c r="I51" s="41"/>
    </row>
    <row r="52">
      <c r="A52" s="54" t="str">
        <f>IFERROR(__xludf.DUMMYFUNCTION("""COMPUTED_VALUE"""),"Dragonskin Jacket")</f>
        <v>Dragonskin Jacket</v>
      </c>
      <c r="B52" s="30" t="str">
        <f>IFERROR(__xludf.DUMMYFUNCTION("""COMPUTED_VALUE"""),"Defence")</f>
        <v>Defence</v>
      </c>
      <c r="C52" s="30">
        <f>IFERROR(__xludf.DUMMYFUNCTION("""COMPUTED_VALUE"""),84.0)</f>
        <v>84</v>
      </c>
      <c r="D52" s="30">
        <f>IFERROR(__xludf.DUMMYFUNCTION("""COMPUTED_VALUE"""),89.0)</f>
        <v>89</v>
      </c>
      <c r="E52" s="30">
        <f>IFERROR(__xludf.DUMMYFUNCTION("""COMPUTED_VALUE"""),94.0)</f>
        <v>94</v>
      </c>
      <c r="F52" s="30">
        <f>IFERROR(__xludf.DUMMYFUNCTION("""COMPUTED_VALUE"""),100.0)</f>
        <v>100</v>
      </c>
      <c r="G52" s="30" t="str">
        <f>IFERROR(__xludf.DUMMYFUNCTION("""COMPUTED_VALUE"""),"Fire Damage Reduction (25%)
Ice Damage Reduction (25%)")</f>
        <v>Fire Damage Reduction (25%)
Ice Damage Reduction (25%)</v>
      </c>
      <c r="H52" s="42" t="str">
        <f>IFERROR(__xludf.DUMMYFUNCTION("""COMPUTED_VALUE"""),"Wheel of Harma - Fourth Trial (30 Moves)")</f>
        <v>Wheel of Harma - Fourth Trial (30 Moves)</v>
      </c>
      <c r="I52" s="42"/>
    </row>
    <row r="53">
      <c r="A53" s="56" t="str">
        <f>IFERROR(__xludf.DUMMYFUNCTION("""COMPUTED_VALUE"""),"Swindler King's Stole")</f>
        <v>Swindler King's Stole</v>
      </c>
      <c r="B53" s="31" t="str">
        <f>IFERROR(__xludf.DUMMYFUNCTION("""COMPUTED_VALUE"""),"Defence
Evasion %
Deftness
Charm")</f>
        <v>Defence
Evasion %
Deftness
Charm</v>
      </c>
      <c r="C53" s="31" t="str">
        <f>IFERROR(__xludf.DUMMYFUNCTION("""COMPUTED_VALUE"""),"81
8
33
57")</f>
        <v>81
8
33
57</v>
      </c>
      <c r="D53" s="31" t="str">
        <f>IFERROR(__xludf.DUMMYFUNCTION("""COMPUTED_VALUE"""),"86
9
34
59")</f>
        <v>86
9
34
59</v>
      </c>
      <c r="E53" s="31" t="str">
        <f>IFERROR(__xludf.DUMMYFUNCTION("""COMPUTED_VALUE"""),"91
9
34
62")</f>
        <v>91
9
34
62</v>
      </c>
      <c r="F53" s="31" t="str">
        <f>IFERROR(__xludf.DUMMYFUNCTION("""COMPUTED_VALUE"""),"97
10
36
65")</f>
        <v>97
10
36
65</v>
      </c>
      <c r="G53" s="31" t="str">
        <f>IFERROR(__xludf.DUMMYFUNCTION("""COMPUTED_VALUE"""),"--")</f>
        <v>--</v>
      </c>
      <c r="H53" s="41" t="str">
        <f>IFERROR(__xludf.DUMMYFUNCTION("""COMPUTED_VALUE"""),"Recipe: King of the Swindlers")</f>
        <v>Recipe: King of the Swindlers</v>
      </c>
      <c r="I53" s="41" t="str">
        <f>IFERROR(__xludf.DUMMYFUNCTION("""COMPUTED_VALUE"""),"Techniclour Dreamcloth: 3
Mythril Ore: 2
Savvy Sapphire: 2
Slipweed: 2")</f>
        <v>Techniclour Dreamcloth: 3
Mythril Ore: 2
Savvy Sapphire: 2
Slipweed: 2</v>
      </c>
    </row>
    <row r="54">
      <c r="A54" s="55" t="str">
        <f>IFERROR(__xludf.DUMMYFUNCTION("""COMPUTED_VALUE"""),"Stellar Suit")</f>
        <v>Stellar Suit</v>
      </c>
      <c r="B54" s="30" t="str">
        <f>IFERROR(__xludf.DUMMYFUNCTION("""COMPUTED_VALUE"""),"Defence
Evasion %
Charm")</f>
        <v>Defence
Evasion %
Charm</v>
      </c>
      <c r="C54" s="30" t="str">
        <f>IFERROR(__xludf.DUMMYFUNCTION("""COMPUTED_VALUE"""),"79
3
79")</f>
        <v>79
3
79</v>
      </c>
      <c r="D54" s="30" t="str">
        <f>IFERROR(__xludf.DUMMYFUNCTION("""COMPUTED_VALUE"""),"84
4
83")</f>
        <v>84
4
83</v>
      </c>
      <c r="E54" s="30" t="str">
        <f>IFERROR(__xludf.DUMMYFUNCTION("""COMPUTED_VALUE"""),"89
4
87")</f>
        <v>89
4
87</v>
      </c>
      <c r="F54" s="30" t="str">
        <f>IFERROR(__xludf.DUMMYFUNCTION("""COMPUTED_VALUE"""),"94
5
91")</f>
        <v>94
5
91</v>
      </c>
      <c r="G54" s="30" t="str">
        <f>IFERROR(__xludf.DUMMYFUNCTION("""COMPUTED_VALUE"""),"Spell-Sealing Protection (50%)")</f>
        <v>Spell-Sealing Protection (50%)</v>
      </c>
      <c r="H54" s="42" t="str">
        <f>IFERROR(__xludf.DUMMYFUNCTION("""COMPUTED_VALUE"""),"Postgame Event: Octagonia")</f>
        <v>Postgame Event: Octagonia</v>
      </c>
      <c r="I54" s="42"/>
    </row>
    <row r="55">
      <c r="A55" s="56" t="str">
        <f>IFERROR(__xludf.DUMMYFUNCTION("""COMPUTED_VALUE"""),"Dashing Doublet")</f>
        <v>Dashing Doublet</v>
      </c>
      <c r="B55" s="31" t="str">
        <f>IFERROR(__xludf.DUMMYFUNCTION("""COMPUTED_VALUE"""),"Defence
Charm")</f>
        <v>Defence
Charm</v>
      </c>
      <c r="C55" s="31" t="str">
        <f>IFERROR(__xludf.DUMMYFUNCTION("""COMPUTED_VALUE"""),"83
63")</f>
        <v>83
63</v>
      </c>
      <c r="D55" s="31" t="str">
        <f>IFERROR(__xludf.DUMMYFUNCTION("""COMPUTED_VALUE"""),"88
66")</f>
        <v>88
66</v>
      </c>
      <c r="E55" s="31" t="str">
        <f>IFERROR(__xludf.DUMMYFUNCTION("""COMPUTED_VALUE"""),"93
69")</f>
        <v>93
69</v>
      </c>
      <c r="F55" s="31" t="str">
        <f>IFERROR(__xludf.DUMMYFUNCTION("""COMPUTED_VALUE"""),"99
73")</f>
        <v>99
73</v>
      </c>
      <c r="G55" s="31" t="str">
        <f>IFERROR(__xludf.DUMMYFUNCTION("""COMPUTED_VALUE"""),"Dark Damage Reduction (10/15/20/25%)")</f>
        <v>Dark Damage Reduction (10/15/20/25%)</v>
      </c>
      <c r="H55" s="41" t="str">
        <f>IFERROR(__xludf.DUMMYFUNCTION("""COMPUTED_VALUE"""),"Recipe: Dress to Impress")</f>
        <v>Recipe: Dress to Impress</v>
      </c>
      <c r="I55" s="41" t="str">
        <f>IFERROR(__xludf.DUMMYFUNCTION("""COMPUTED_VALUE"""),"Techniclour Dreamcloth: 2
Serpent Skin: 2
Equable Emerald: 2
Spectralite: 1")</f>
        <v>Techniclour Dreamcloth: 2
Serpent Skin: 2
Equable Emerald: 2
Spectralite: 1</v>
      </c>
    </row>
    <row r="56">
      <c r="A56" s="55" t="str">
        <f>IFERROR(__xludf.DUMMYFUNCTION("""COMPUTED_VALUE"""),"Yggdrasil Dress Coat")</f>
        <v>Yggdrasil Dress Coat</v>
      </c>
      <c r="B56" s="30" t="str">
        <f>IFERROR(__xludf.DUMMYFUNCTION("""COMPUTED_VALUE"""),"Defence
Magic Might
Magic Mend
Charm")</f>
        <v>Defence
Magic Might
Magic Mend
Charm</v>
      </c>
      <c r="C56" s="30" t="str">
        <f>IFERROR(__xludf.DUMMYFUNCTION("""COMPUTED_VALUE"""),"80
35
36
44")</f>
        <v>80
35
36
44</v>
      </c>
      <c r="D56" s="30" t="str">
        <f>IFERROR(__xludf.DUMMYFUNCTION("""COMPUTED_VALUE"""),"85
36
37
46")</f>
        <v>85
36
37
46</v>
      </c>
      <c r="E56" s="30" t="str">
        <f>IFERROR(__xludf.DUMMYFUNCTION("""COMPUTED_VALUE"""),"90
37
38
48")</f>
        <v>90
37
38
48</v>
      </c>
      <c r="F56" s="30" t="str">
        <f>IFERROR(__xludf.DUMMYFUNCTION("""COMPUTED_VALUE"""),"95
39
39
50")</f>
        <v>95
39
39
50</v>
      </c>
      <c r="G56" s="30" t="str">
        <f>IFERROR(__xludf.DUMMYFUNCTION("""COMPUTED_VALUE"""),"Spell-Sealing Protection (25/30/40/50%)
Confusion Protection (25/30/40/50%)
Beguilement Protection (25/30/40/50%)")</f>
        <v>Spell-Sealing Protection (25/30/40/50%)
Confusion Protection (25/30/40/50%)
Beguilement Protection (25/30/40/50%)</v>
      </c>
      <c r="H56" s="42" t="str">
        <f>IFERROR(__xludf.DUMMYFUNCTION("""COMPUTED_VALUE"""),"Recipe: What a Wonderful World Tree")</f>
        <v>Recipe: What a Wonderful World Tree</v>
      </c>
      <c r="I56" s="42" t="str">
        <f>IFERROR(__xludf.DUMMYFUNCTION("""COMPUTED_VALUE"""),"Silkblossom: 3
Gold Bar: 1
Glimmergrass: 2
Royal Ruby: 1")</f>
        <v>Silkblossom: 3
Gold Bar: 1
Glimmergrass: 2
Royal Ruby: 1</v>
      </c>
    </row>
    <row r="57">
      <c r="A57" s="56" t="str">
        <f>IFERROR(__xludf.DUMMYFUNCTION("""COMPUTED_VALUE"""),"Divine Bustier")</f>
        <v>Divine Bustier</v>
      </c>
      <c r="B57" s="31" t="str">
        <f>IFERROR(__xludf.DUMMYFUNCTION("""COMPUTED_VALUE"""),"Defence
Evasion %
Charm")</f>
        <v>Defence
Evasion %
Charm</v>
      </c>
      <c r="C57" s="31" t="str">
        <f>IFERROR(__xludf.DUMMYFUNCTION("""COMPUTED_VALUE"""),"83
3
79")</f>
        <v>83
3
79</v>
      </c>
      <c r="D57" s="31" t="str">
        <f>IFERROR(__xludf.DUMMYFUNCTION("""COMPUTED_VALUE"""),"88
4
83")</f>
        <v>88
4
83</v>
      </c>
      <c r="E57" s="31" t="str">
        <f>IFERROR(__xludf.DUMMYFUNCTION("""COMPUTED_VALUE"""),"93
4
87")</f>
        <v>93
4
87</v>
      </c>
      <c r="F57" s="31" t="str">
        <f>IFERROR(__xludf.DUMMYFUNCTION("""COMPUTED_VALUE"""),"99
5
91")</f>
        <v>99
5
91</v>
      </c>
      <c r="G57" s="31" t="str">
        <f>IFERROR(__xludf.DUMMYFUNCTION("""COMPUTED_VALUE"""),"--")</f>
        <v>--</v>
      </c>
      <c r="H57" s="63" t="str">
        <f>IFERROR(__xludf.DUMMYFUNCTION("""COMPUTED_VALUE"""),"Haggle with brothers in Gondolia, min. price 20000 (Postgame)")</f>
        <v>Haggle with brothers in Gondolia, min. price 20000 (Postgame)</v>
      </c>
      <c r="I57" s="41"/>
    </row>
    <row r="58">
      <c r="A58" s="54" t="str">
        <f>IFERROR(__xludf.DUMMYFUNCTION("""COMPUTED_VALUE"""),"Vest for Success")</f>
        <v>Vest for Success</v>
      </c>
      <c r="B58" s="30" t="str">
        <f>IFERROR(__xludf.DUMMYFUNCTION("""COMPUTED_VALUE"""),"Defence")</f>
        <v>Defence</v>
      </c>
      <c r="C58" s="30">
        <f>IFERROR(__xludf.DUMMYFUNCTION("""COMPUTED_VALUE"""),5.0)</f>
        <v>5</v>
      </c>
      <c r="D58" s="30">
        <f>IFERROR(__xludf.DUMMYFUNCTION("""COMPUTED_VALUE"""),12.0)</f>
        <v>12</v>
      </c>
      <c r="E58" s="30">
        <f>IFERROR(__xludf.DUMMYFUNCTION("""COMPUTED_VALUE"""),19.0)</f>
        <v>19</v>
      </c>
      <c r="F58" s="30">
        <f>IFERROR(__xludf.DUMMYFUNCTION("""COMPUTED_VALUE"""),28.0)</f>
        <v>28</v>
      </c>
      <c r="G58" s="30" t="str">
        <f>IFERROR(__xludf.DUMMYFUNCTION("""COMPUTED_VALUE"""),"--")</f>
        <v>--</v>
      </c>
      <c r="H58" s="42" t="str">
        <f>IFERROR(__xludf.DUMMYFUNCTION("""COMPUTED_VALUE"""),"Quest: Vest for Success")</f>
        <v>Quest: Vest for Success</v>
      </c>
      <c r="I58" s="42"/>
    </row>
    <row r="59">
      <c r="A59" s="53" t="str">
        <f>IFERROR(__xludf.DUMMYFUNCTION("""COMPUTED_VALUE"""),"Metal King Jacket")</f>
        <v>Metal King Jacket</v>
      </c>
      <c r="B59" s="31" t="str">
        <f>IFERROR(__xludf.DUMMYFUNCTION("""COMPUTED_VALUE"""),"Defence
Evasion %")</f>
        <v>Defence
Evasion %</v>
      </c>
      <c r="C59" s="31" t="str">
        <f>IFERROR(__xludf.DUMMYFUNCTION("""COMPUTED_VALUE"""),"101
8")</f>
        <v>101
8</v>
      </c>
      <c r="D59" s="31" t="str">
        <f>IFERROR(__xludf.DUMMYFUNCTION("""COMPUTED_VALUE"""),"106
9")</f>
        <v>106
9</v>
      </c>
      <c r="E59" s="31" t="str">
        <f>IFERROR(__xludf.DUMMYFUNCTION("""COMPUTED_VALUE"""),"112
9")</f>
        <v>112
9</v>
      </c>
      <c r="F59" s="31" t="str">
        <f>IFERROR(__xludf.DUMMYFUNCTION("""COMPUTED_VALUE"""),"118
10")</f>
        <v>118
10</v>
      </c>
      <c r="G59" s="31" t="str">
        <f>IFERROR(__xludf.DUMMYFUNCTION("""COMPUTED_VALUE"""),"Elemental Damage Reduction (10%)")</f>
        <v>Elemental Damage Reduction (10%)</v>
      </c>
      <c r="H59" s="41" t="str">
        <f>IFERROR(__xludf.DUMMYFUNCTION("""COMPUTED_VALUE"""),"Cobblestone: 78000
Ultimate Key: Cryptic Crypt")</f>
        <v>Cobblestone: 78000
Ultimate Key: Cryptic Crypt</v>
      </c>
      <c r="I59" s="41"/>
    </row>
    <row r="60">
      <c r="A60" s="55" t="str">
        <f>IFERROR(__xludf.DUMMYFUNCTION("""COMPUTED_VALUE"""),"Cobblestone Clobber")</f>
        <v>Cobblestone Clobber</v>
      </c>
      <c r="B60" s="30" t="str">
        <f>IFERROR(__xludf.DUMMYFUNCTION("""COMPUTED_VALUE"""),"Defence
Charm")</f>
        <v>Defence
Charm</v>
      </c>
      <c r="C60" s="30" t="str">
        <f>IFERROR(__xludf.DUMMYFUNCTION("""COMPUTED_VALUE"""),"2
2")</f>
        <v>2
2</v>
      </c>
      <c r="D60" s="30" t="str">
        <f>IFERROR(__xludf.DUMMYFUNCTION("""COMPUTED_VALUE"""),"3
3")</f>
        <v>3
3</v>
      </c>
      <c r="E60" s="30" t="str">
        <f>IFERROR(__xludf.DUMMYFUNCTION("""COMPUTED_VALUE"""),"4
4")</f>
        <v>4
4</v>
      </c>
      <c r="F60" s="30" t="str">
        <f>IFERROR(__xludf.DUMMYFUNCTION("""COMPUTED_VALUE"""),"5
5")</f>
        <v>5
5</v>
      </c>
      <c r="G60" s="30" t="str">
        <f>IFERROR(__xludf.DUMMYFUNCTION("""COMPUTED_VALUE"""),"--")</f>
        <v>--</v>
      </c>
      <c r="H60" s="42" t="str">
        <f>IFERROR(__xludf.DUMMYFUNCTION("""COMPUTED_VALUE"""),"Cabinet: Your House (Postgame)")</f>
        <v>Cabinet: Your House (Postgame)</v>
      </c>
      <c r="I60" s="42"/>
    </row>
    <row r="61">
      <c r="A61" s="56" t="str">
        <f>IFERROR(__xludf.DUMMYFUNCTION("""COMPUTED_VALUE"""),"Sacred Raiment")</f>
        <v>Sacred Raiment</v>
      </c>
      <c r="B61" s="31" t="str">
        <f>IFERROR(__xludf.DUMMYFUNCTION("""COMPUTED_VALUE"""),"Defence
Magic Mend
Charm")</f>
        <v>Defence
Magic Mend
Charm</v>
      </c>
      <c r="C61" s="31" t="str">
        <f>IFERROR(__xludf.DUMMYFUNCTION("""COMPUTED_VALUE"""),"98
35
92")</f>
        <v>98
35
92</v>
      </c>
      <c r="D61" s="31" t="str">
        <f>IFERROR(__xludf.DUMMYFUNCTION("""COMPUTED_VALUE"""),"103
36
96")</f>
        <v>103
36
96</v>
      </c>
      <c r="E61" s="31" t="str">
        <f>IFERROR(__xludf.DUMMYFUNCTION("""COMPUTED_VALUE"""),"109
38
100")</f>
        <v>109
38
100</v>
      </c>
      <c r="F61" s="31" t="str">
        <f>IFERROR(__xludf.DUMMYFUNCTION("""COMPUTED_VALUE"""),"115
40
104")</f>
        <v>115
40
104</v>
      </c>
      <c r="G61" s="31" t="str">
        <f>IFERROR(__xludf.DUMMYFUNCTION("""COMPUTED_VALUE"""),"Dark Damage Reduction (20/30/40/50%)")</f>
        <v>Dark Damage Reduction (20/30/40/50%)</v>
      </c>
      <c r="H61" s="41" t="str">
        <f>IFERROR(__xludf.DUMMYFUNCTION("""COMPUTED_VALUE"""),"Recipe: Gifts from the Goddess")</f>
        <v>Recipe: Gifts from the Goddess</v>
      </c>
      <c r="I61" s="41" t="str">
        <f>IFERROR(__xludf.DUMMYFUNCTION("""COMPUTED_VALUE"""),"Techniclour Drreamcloth: 2
Pale Pearl: 3
Cumulonimbough: 2
Mirrorstone: 1")</f>
        <v>Techniclour Drreamcloth: 2
Pale Pearl: 3
Cumulonimbough: 2
Mirrorstone: 1</v>
      </c>
    </row>
    <row r="62">
      <c r="A62" s="55" t="str">
        <f>IFERROR(__xludf.DUMMYFUNCTION("""COMPUTED_VALUE"""),"Minerva's Raiment")</f>
        <v>Minerva's Raiment</v>
      </c>
      <c r="B62" s="30" t="str">
        <f>IFERROR(__xludf.DUMMYFUNCTION("""COMPUTED_VALUE"""),"Defence
Critical %
Agility
Charm")</f>
        <v>Defence
Critical %
Agility
Charm</v>
      </c>
      <c r="C62" s="30" t="str">
        <f>IFERROR(__xludf.DUMMYFUNCTION("""COMPUTED_VALUE"""),"101
2
33
92")</f>
        <v>101
2
33
92</v>
      </c>
      <c r="D62" s="30" t="str">
        <f>IFERROR(__xludf.DUMMYFUNCTION("""COMPUTED_VALUE"""),"106
2
34
96")</f>
        <v>106
2
34
96</v>
      </c>
      <c r="E62" s="30" t="str">
        <f>IFERROR(__xludf.DUMMYFUNCTION("""COMPUTED_VALUE"""),"112
2
35
100")</f>
        <v>112
2
35
100</v>
      </c>
      <c r="F62" s="30" t="str">
        <f>IFERROR(__xludf.DUMMYFUNCTION("""COMPUTED_VALUE"""),"118
3
37
104")</f>
        <v>118
3
37
104</v>
      </c>
      <c r="G62" s="30" t="str">
        <f>IFERROR(__xludf.DUMMYFUNCTION("""COMPUTED_VALUE"""),"--")</f>
        <v>--</v>
      </c>
      <c r="H62" s="42" t="str">
        <f>IFERROR(__xludf.DUMMYFUNCTION("""COMPUTED_VALUE"""),"Recipe: The Way of the War Goddess")</f>
        <v>Recipe: The Way of the War Goddess</v>
      </c>
      <c r="I62" s="42" t="str">
        <f>IFERROR(__xludf.DUMMYFUNCTION("""COMPUTED_VALUE"""),"Colourful Cocoon: 2
Artful Amethyst: 2
Slipweed: 3
Sainted Soma: 1")</f>
        <v>Colourful Cocoon: 2
Artful Amethyst: 2
Slipweed: 3
Sainted Soma: 1</v>
      </c>
    </row>
    <row r="63">
      <c r="A63" s="56" t="str">
        <f>IFERROR(__xludf.DUMMYFUNCTION("""COMPUTED_VALUE"""),"Hot Bikini")</f>
        <v>Hot Bikini</v>
      </c>
      <c r="B63" s="31" t="str">
        <f>IFERROR(__xludf.DUMMYFUNCTION("""COMPUTED_VALUE"""),"Defence
Charm")</f>
        <v>Defence
Charm</v>
      </c>
      <c r="C63" s="31" t="str">
        <f>IFERROR(__xludf.DUMMYFUNCTION("""COMPUTED_VALUE"""),"1
150")</f>
        <v>1
150</v>
      </c>
      <c r="D63" s="31" t="str">
        <f>IFERROR(__xludf.DUMMYFUNCTION("""COMPUTED_VALUE"""),"1
160")</f>
        <v>1
160</v>
      </c>
      <c r="E63" s="31" t="str">
        <f>IFERROR(__xludf.DUMMYFUNCTION("""COMPUTED_VALUE"""),"1
180")</f>
        <v>1
180</v>
      </c>
      <c r="F63" s="31" t="str">
        <f>IFERROR(__xludf.DUMMYFUNCTION("""COMPUTED_VALUE"""),"1
200")</f>
        <v>1
200</v>
      </c>
      <c r="G63" s="31" t="str">
        <f>IFERROR(__xludf.DUMMYFUNCTION("""COMPUTED_VALUE"""),"--")</f>
        <v>--</v>
      </c>
      <c r="H63" s="41" t="str">
        <f>IFERROR(__xludf.DUMMYFUNCTION("""COMPUTED_VALUE"""),"Octagonia Casino: 150000")</f>
        <v>Octagonia Casino: 150000</v>
      </c>
      <c r="I63" s="41"/>
    </row>
    <row r="64">
      <c r="A64" s="55" t="str">
        <f>IFERROR(__xludf.DUMMYFUNCTION("""COMPUTED_VALUE"""),"Field Marshal's Finery")</f>
        <v>Field Marshal's Finery</v>
      </c>
      <c r="B64" s="30" t="str">
        <f>IFERROR(__xludf.DUMMYFUNCTION("""COMPUTED_VALUE"""),"Defence
Max HP
Charm")</f>
        <v>Defence
Max HP
Charm</v>
      </c>
      <c r="C64" s="30" t="str">
        <f>IFERROR(__xludf.DUMMYFUNCTION("""COMPUTED_VALUE"""),"123
30
65")</f>
        <v>123
30
65</v>
      </c>
      <c r="D64" s="30" t="str">
        <f>IFERROR(__xludf.DUMMYFUNCTION("""COMPUTED_VALUE"""),"130
31
67")</f>
        <v>130
31
67</v>
      </c>
      <c r="E64" s="30" t="str">
        <f>IFERROR(__xludf.DUMMYFUNCTION("""COMPUTED_VALUE"""),"137
33
69")</f>
        <v>137
33
69</v>
      </c>
      <c r="F64" s="30" t="str">
        <f>IFERROR(__xludf.DUMMYFUNCTION("""COMPUTED_VALUE"""),"144
34
72")</f>
        <v>144
34
72</v>
      </c>
      <c r="G64" s="30" t="str">
        <f>IFERROR(__xludf.DUMMYFUNCTION("""COMPUTED_VALUE"""),"Dark Damage Reduction (25/30/35/40%)")</f>
        <v>Dark Damage Reduction (25/30/35/40%)</v>
      </c>
      <c r="H64" s="42" t="str">
        <f>IFERROR(__xludf.DUMMYFUNCTION("""COMPUTED_VALUE"""),"Recipe: Field Manual")</f>
        <v>Recipe: Field Manual</v>
      </c>
      <c r="I64" s="42" t="str">
        <f>IFERROR(__xludf.DUMMYFUNCTION("""COMPUTED_VALUE"""),"Serpent Skin: 2
Wing of Bat: 2
Night Stick: 2
Finessence: 2")</f>
        <v>Serpent Skin: 2
Wing of Bat: 2
Night Stick: 2
Finessence: 2</v>
      </c>
    </row>
    <row r="65">
      <c r="A65" s="53" t="str">
        <f>IFERROR(__xludf.DUMMYFUNCTION("""COMPUTED_VALUE"""),"Exotoga")</f>
        <v>Exotoga</v>
      </c>
      <c r="B65" s="31" t="str">
        <f>IFERROR(__xludf.DUMMYFUNCTION("""COMPUTED_VALUE"""),"Defence")</f>
        <v>Defence</v>
      </c>
      <c r="C65" s="31">
        <f>IFERROR(__xludf.DUMMYFUNCTION("""COMPUTED_VALUE"""),120.0)</f>
        <v>120</v>
      </c>
      <c r="D65" s="31">
        <f>IFERROR(__xludf.DUMMYFUNCTION("""COMPUTED_VALUE"""),126.0)</f>
        <v>126</v>
      </c>
      <c r="E65" s="31">
        <f>IFERROR(__xludf.DUMMYFUNCTION("""COMPUTED_VALUE"""),132.0)</f>
        <v>132</v>
      </c>
      <c r="F65" s="31">
        <f>IFERROR(__xludf.DUMMYFUNCTION("""COMPUTED_VALUE"""),138.0)</f>
        <v>138</v>
      </c>
      <c r="G65" s="31" t="str">
        <f>IFERROR(__xludf.DUMMYFUNCTION("""COMPUTED_VALUE"""),"Elemental Damage Reduction (25%)
Sleep Protection (35%)
Paralysis Protection (35%)
Poison Protection (35%)")</f>
        <v>Elemental Damage Reduction (25%)
Sleep Protection (35%)
Paralysis Protection (35%)
Poison Protection (35%)</v>
      </c>
      <c r="H65" s="41" t="str">
        <f>IFERROR(__xludf.DUMMYFUNCTION("""COMPUTED_VALUE"""),"Recipe: Ye Manifold Methods of Mighty Drustan")</f>
        <v>Recipe: Ye Manifold Methods of Mighty Drustan</v>
      </c>
      <c r="I65" s="41" t="str">
        <f>IFERROR(__xludf.DUMMYFUNCTION("""COMPUTED_VALUE"""),"Kaleidocloth: 1
Agate of Evolution: 2
Savvy Sapphire: 3
Thinkincense: 3
Celestial Skein: 3")</f>
        <v>Kaleidocloth: 1
Agate of Evolution: 2
Savvy Sapphire: 3
Thinkincense: 3
Celestial Skein: 3</v>
      </c>
    </row>
    <row r="66">
      <c r="A66" s="55" t="str">
        <f>IFERROR(__xludf.DUMMYFUNCTION("""COMPUTED_VALUE"""),"Pirate King's Coat")</f>
        <v>Pirate King's Coat</v>
      </c>
      <c r="B66" s="30" t="str">
        <f>IFERROR(__xludf.DUMMYFUNCTION("""COMPUTED_VALUE"""),"Defence
Evasion %
Agility
Charm")</f>
        <v>Defence
Evasion %
Agility
Charm</v>
      </c>
      <c r="C66" s="30" t="str">
        <f>IFERROR(__xludf.DUMMYFUNCTION("""COMPUTED_VALUE"""),"108
4
37
75")</f>
        <v>108
4
37
75</v>
      </c>
      <c r="D66" s="30" t="str">
        <f>IFERROR(__xludf.DUMMYFUNCTION("""COMPUTED_VALUE"""),"117
4
39
80")</f>
        <v>117
4
39
80</v>
      </c>
      <c r="E66" s="30" t="str">
        <f>IFERROR(__xludf.DUMMYFUNCTION("""COMPUTED_VALUE"""),"126
4
42
85")</f>
        <v>126
4
42
85</v>
      </c>
      <c r="F66" s="30" t="str">
        <f>IFERROR(__xludf.DUMMYFUNCTION("""COMPUTED_VALUE"""),"135
4
45
90")</f>
        <v>135
4
45
90</v>
      </c>
      <c r="G66" s="30" t="str">
        <f>IFERROR(__xludf.DUMMYFUNCTION("""COMPUTED_VALUE"""),"Wind Damage Reduction (20/30/40/50%)")</f>
        <v>Wind Damage Reduction (20/30/40/50%)</v>
      </c>
      <c r="H66" s="42" t="str">
        <f>IFERROR(__xludf.DUMMYFUNCTION("""COMPUTED_VALUE"""),"Cobblestone: 40000")</f>
        <v>Cobblestone: 40000</v>
      </c>
      <c r="I66" s="42"/>
    </row>
    <row r="67">
      <c r="A67" s="56" t="str">
        <f>IFERROR(__xludf.DUMMYFUNCTION("""COMPUTED_VALUE"""),"Gladder Rags")</f>
        <v>Gladder Rags</v>
      </c>
      <c r="B67" s="31" t="str">
        <f>IFERROR(__xludf.DUMMYFUNCTION("""COMPUTED_VALUE"""),"Defence
Evasion %
Charm")</f>
        <v>Defence
Evasion %
Charm</v>
      </c>
      <c r="C67" s="31" t="str">
        <f>IFERROR(__xludf.DUMMYFUNCTION("""COMPUTED_VALUE"""),"114
4
84")</f>
        <v>114
4
84</v>
      </c>
      <c r="D67" s="31" t="str">
        <f>IFERROR(__xludf.DUMMYFUNCTION("""COMPUTED_VALUE"""),"123
4
89")</f>
        <v>123
4
89</v>
      </c>
      <c r="E67" s="31" t="str">
        <f>IFERROR(__xludf.DUMMYFUNCTION("""COMPUTED_VALUE"""),"133
4
94")</f>
        <v>133
4
94</v>
      </c>
      <c r="F67" s="31" t="str">
        <f>IFERROR(__xludf.DUMMYFUNCTION("""COMPUTED_VALUE"""),"143
4
100")</f>
        <v>143
4
100</v>
      </c>
      <c r="G67" s="31" t="str">
        <f>IFERROR(__xludf.DUMMYFUNCTION("""COMPUTED_VALUE"""),"--")</f>
        <v>--</v>
      </c>
      <c r="H67" s="41" t="str">
        <f>IFERROR(__xludf.DUMMYFUNCTION("""COMPUTED_VALUE"""),"Recipe: Glammer Gear for Goer-Getterers")</f>
        <v>Recipe: Glammer Gear for Goer-Getterers</v>
      </c>
      <c r="I67" s="41" t="str">
        <f>IFERROR(__xludf.DUMMYFUNCTION("""COMPUTED_VALUE"""),"Narspicious: 3
Serpent Skin: 2
Kaleidocloth: 2
Cherry Blossom Petal: 2
Love Potion: 3")</f>
        <v>Narspicious: 3
Serpent Skin: 2
Kaleidocloth: 2
Cherry Blossom Petal: 2
Love Potion: 3</v>
      </c>
    </row>
    <row r="68">
      <c r="A68" s="55" t="str">
        <f>IFERROR(__xludf.DUMMYFUNCTION("""COMPUTED_VALUE"""),"Potentate's Pallium")</f>
        <v>Potentate's Pallium</v>
      </c>
      <c r="B68" s="30" t="str">
        <f>IFERROR(__xludf.DUMMYFUNCTION("""COMPUTED_VALUE"""),"Defence
Magic Might
Magic Mend
Charm")</f>
        <v>Defence
Magic Might
Magic Mend
Charm</v>
      </c>
      <c r="C68" s="30" t="str">
        <f>IFERROR(__xludf.DUMMYFUNCTION("""COMPUTED_VALUE"""),"105
26
42
58")</f>
        <v>105
26
42
58</v>
      </c>
      <c r="D68" s="30" t="str">
        <f>IFERROR(__xludf.DUMMYFUNCTION("""COMPUTED_VALUE"""),"113
27
43
61")</f>
        <v>113
27
43
61</v>
      </c>
      <c r="E68" s="30" t="str">
        <f>IFERROR(__xludf.DUMMYFUNCTION("""COMPUTED_VALUE"""),"122
28
45
65")</f>
        <v>122
28
45
65</v>
      </c>
      <c r="F68" s="30" t="str">
        <f>IFERROR(__xludf.DUMMYFUNCTION("""COMPUTED_VALUE"""),"132
30
48
70")</f>
        <v>132
30
48
70</v>
      </c>
      <c r="G68" s="30" t="str">
        <f>IFERROR(__xludf.DUMMYFUNCTION("""COMPUTED_VALUE"""),"Elemental Damage Reduction (10/12/15/20%)")</f>
        <v>Elemental Damage Reduction (10/12/15/20%)</v>
      </c>
      <c r="H68" s="42" t="str">
        <f>IFERROR(__xludf.DUMMYFUNCTION("""COMPUTED_VALUE"""),"Recipe: A Guide to Godly Get-Up")</f>
        <v>Recipe: A Guide to Godly Get-Up</v>
      </c>
      <c r="I68" s="42" t="str">
        <f>IFERROR(__xludf.DUMMYFUNCTION("""COMPUTED_VALUE"""),"Kaleidocloth: 3
Spectralite: 1
Uber Agate of Evolution: 1
Serpent Skin: 2
Dieamend: 1")</f>
        <v>Kaleidocloth: 3
Spectralite: 1
Uber Agate of Evolution: 1
Serpent Skin: 2
Dieamend: 1</v>
      </c>
    </row>
    <row r="69">
      <c r="A69" s="56" t="str">
        <f>IFERROR(__xludf.DUMMYFUNCTION("""COMPUTED_VALUE"""),"Xenlon Gown")</f>
        <v>Xenlon Gown</v>
      </c>
      <c r="B69" s="31" t="str">
        <f>IFERROR(__xludf.DUMMYFUNCTION("""COMPUTED_VALUE"""),"Defence
Evasion %
Charm")</f>
        <v>Defence
Evasion %
Charm</v>
      </c>
      <c r="C69" s="31" t="str">
        <f>IFERROR(__xludf.DUMMYFUNCTION("""COMPUTED_VALUE"""),"112
6
105")</f>
        <v>112
6
105</v>
      </c>
      <c r="D69" s="31" t="str">
        <f>IFERROR(__xludf.DUMMYFUNCTION("""COMPUTED_VALUE"""),"121
7
111")</f>
        <v>121
7
111</v>
      </c>
      <c r="E69" s="31" t="str">
        <f>IFERROR(__xludf.DUMMYFUNCTION("""COMPUTED_VALUE"""),"130
7
118")</f>
        <v>130
7
118</v>
      </c>
      <c r="F69" s="31" t="str">
        <f>IFERROR(__xludf.DUMMYFUNCTION("""COMPUTED_VALUE"""),"140
8
125")</f>
        <v>140
8
125</v>
      </c>
      <c r="G69" s="31" t="str">
        <f>IFERROR(__xludf.DUMMYFUNCTION("""COMPUTED_VALUE"""),"Elemental Damage Reduction (5/7/10/15%)")</f>
        <v>Elemental Damage Reduction (5/7/10/15%)</v>
      </c>
      <c r="H69" s="41" t="str">
        <f>IFERROR(__xludf.DUMMYFUNCTION("""COMPUTED_VALUE"""),"Recipe: Shine on, Xenlon")</f>
        <v>Recipe: Shine on, Xenlon</v>
      </c>
      <c r="I69" s="41" t="str">
        <f>IFERROR(__xludf.DUMMYFUNCTION("""COMPUTED_VALUE"""),"Serpent Skin: 3
Kaleidocloth: 2
Finessence: 3
Serpent's Soul: 1
Saint's Ashes: 2")</f>
        <v>Serpent Skin: 3
Kaleidocloth: 2
Finessence: 3
Serpent's Soul: 1
Saint's Ashes: 2</v>
      </c>
    </row>
    <row r="70">
      <c r="A70" s="55" t="str">
        <f>IFERROR(__xludf.DUMMYFUNCTION("""COMPUTED_VALUE"""),"Erdwin's Tunic")</f>
        <v>Erdwin's Tunic</v>
      </c>
      <c r="B70" s="30" t="str">
        <f>IFERROR(__xludf.DUMMYFUNCTION("""COMPUTED_VALUE"""),"Defence
Magic Might
Magic Mend
Charm")</f>
        <v>Defence
Magic Might
Magic Mend
Charm</v>
      </c>
      <c r="C70" s="30" t="str">
        <f>IFERROR(__xludf.DUMMYFUNCTION("""COMPUTED_VALUE"""),"120
35
35
103")</f>
        <v>120
35
35
103</v>
      </c>
      <c r="D70" s="30" t="str">
        <f>IFERROR(__xludf.DUMMYFUNCTION("""COMPUTED_VALUE"""),"130
36
36
111")</f>
        <v>130
36
36
111</v>
      </c>
      <c r="E70" s="30" t="str">
        <f>IFERROR(__xludf.DUMMYFUNCTION("""COMPUTED_VALUE"""),"140
38
38
118")</f>
        <v>140
38
38
118</v>
      </c>
      <c r="F70" s="30" t="str">
        <f>IFERROR(__xludf.DUMMYFUNCTION("""COMPUTED_VALUE"""),"150
40
40
125")</f>
        <v>150
40
40
125</v>
      </c>
      <c r="G70" s="30" t="str">
        <f>IFERROR(__xludf.DUMMYFUNCTION("""COMPUTED_VALUE"""),"Elemental Damage Reduction (10/15/20/25%)
MP/Turn (10)")</f>
        <v>Elemental Damage Reduction (10/15/20/25%)
MP/Turn (10)</v>
      </c>
      <c r="H70" s="42" t="str">
        <f>IFERROR(__xludf.DUMMYFUNCTION("""COMPUTED_VALUE"""),"Chest: Luminary's Trial 1F")</f>
        <v>Chest: Luminary's Trial 1F</v>
      </c>
      <c r="I70" s="42"/>
    </row>
    <row r="71">
      <c r="A71" s="56" t="str">
        <f>IFERROR(__xludf.DUMMYFUNCTION("""COMPUTED_VALUE"""),"Trodain Togs")</f>
        <v>Trodain Togs</v>
      </c>
      <c r="B71" s="31" t="str">
        <f>IFERROR(__xludf.DUMMYFUNCTION("""COMPUTED_VALUE"""),"Defence
Max HP")</f>
        <v>Defence
Max HP</v>
      </c>
      <c r="C71" s="31" t="str">
        <f>IFERROR(__xludf.DUMMYFUNCTION("""COMPUTED_VALUE"""),"6
4")</f>
        <v>6
4</v>
      </c>
      <c r="D71" s="31" t="str">
        <f>IFERROR(__xludf.DUMMYFUNCTION("""COMPUTED_VALUE"""),"--")</f>
        <v>--</v>
      </c>
      <c r="E71" s="31" t="str">
        <f>IFERROR(__xludf.DUMMYFUNCTION("""COMPUTED_VALUE"""),"--")</f>
        <v>--</v>
      </c>
      <c r="F71" s="31" t="str">
        <f>IFERROR(__xludf.DUMMYFUNCTION("""COMPUTED_VALUE"""),"--")</f>
        <v>--</v>
      </c>
      <c r="G71" s="31" t="str">
        <f>IFERROR(__xludf.DUMMYFUNCTION("""COMPUTED_VALUE"""),"Curse Protection (25%)")</f>
        <v>Curse Protection (25%)</v>
      </c>
      <c r="H71" s="41" t="str">
        <f>IFERROR(__xludf.DUMMYFUNCTION("""COMPUTED_VALUE"""),"Story")</f>
        <v>Story</v>
      </c>
      <c r="I71" s="41"/>
    </row>
    <row r="72">
      <c r="A72" s="55" t="str">
        <f>IFERROR(__xludf.DUMMYFUNCTION("""COMPUTED_VALUE"""),"Artisanal Trodain Togs")</f>
        <v>Artisanal Trodain Togs</v>
      </c>
      <c r="B72" s="30" t="str">
        <f>IFERROR(__xludf.DUMMYFUNCTION("""COMPUTED_VALUE"""),"Defence
Max HP")</f>
        <v>Defence
Max HP</v>
      </c>
      <c r="C72" s="30" t="str">
        <f>IFERROR(__xludf.DUMMYFUNCTION("""COMPUTED_VALUE"""),"100
20")</f>
        <v>100
20</v>
      </c>
      <c r="D72" s="30" t="str">
        <f>IFERROR(__xludf.DUMMYFUNCTION("""COMPUTED_VALUE"""),"105
22")</f>
        <v>105
22</v>
      </c>
      <c r="E72" s="30" t="str">
        <f>IFERROR(__xludf.DUMMYFUNCTION("""COMPUTED_VALUE"""),"110
24")</f>
        <v>110
24</v>
      </c>
      <c r="F72" s="30" t="str">
        <f>IFERROR(__xludf.DUMMYFUNCTION("""COMPUTED_VALUE"""),"115
28")</f>
        <v>115
28</v>
      </c>
      <c r="G72" s="30" t="str">
        <f>IFERROR(__xludf.DUMMYFUNCTION("""COMPUTED_VALUE"""),"Curse Protection (25/30/35/40%)")</f>
        <v>Curse Protection (25/30/35/40%)</v>
      </c>
      <c r="H72" s="42" t="str">
        <f>IFERROR(__xludf.DUMMYFUNCTION("""COMPUTED_VALUE"""),"Recipe: Trodain's Top Trends")</f>
        <v>Recipe: Trodain's Top Trends</v>
      </c>
      <c r="I72" s="42" t="str">
        <f>IFERROR(__xludf.DUMMYFUNCTION("""COMPUTED_VALUE"""),"Trodain Togs: 1
Pep Pop: 1
Kaleidocloth: 1")</f>
        <v>Trodain Togs: 1
Pep Pop: 1
Kaleidocloth: 1</v>
      </c>
    </row>
    <row r="73">
      <c r="A73" s="52" t="str">
        <f>IFERROR(__xludf.DUMMYFUNCTION("""COMPUTED_VALUE"""),"Armour")</f>
        <v>Armour</v>
      </c>
      <c r="B73" s="24"/>
      <c r="C73" s="24"/>
      <c r="D73" s="24"/>
      <c r="E73" s="24"/>
      <c r="F73" s="24"/>
      <c r="G73" s="24"/>
      <c r="H73" s="24"/>
      <c r="I73" s="25"/>
    </row>
    <row r="74">
      <c r="A74" s="54" t="str">
        <f>IFERROR(__xludf.DUMMYFUNCTION("""COMPUTED_VALUE"""),"Leather Armour")</f>
        <v>Leather Armour</v>
      </c>
      <c r="B74" s="30" t="str">
        <f>IFERROR(__xludf.DUMMYFUNCTION("""COMPUTED_VALUE"""),"Defence")</f>
        <v>Defence</v>
      </c>
      <c r="C74" s="30">
        <f>IFERROR(__xludf.DUMMYFUNCTION("""COMPUTED_VALUE"""),11.0)</f>
        <v>11</v>
      </c>
      <c r="D74" s="30">
        <f>IFERROR(__xludf.DUMMYFUNCTION("""COMPUTED_VALUE"""),12.0)</f>
        <v>12</v>
      </c>
      <c r="E74" s="30">
        <f>IFERROR(__xludf.DUMMYFUNCTION("""COMPUTED_VALUE"""),14.0)</f>
        <v>14</v>
      </c>
      <c r="F74" s="30">
        <f>IFERROR(__xludf.DUMMYFUNCTION("""COMPUTED_VALUE"""),17.0)</f>
        <v>17</v>
      </c>
      <c r="G74" s="30" t="str">
        <f>IFERROR(__xludf.DUMMYFUNCTION("""COMPUTED_VALUE"""),"--")</f>
        <v>--</v>
      </c>
      <c r="H74" s="42" t="str">
        <f>IFERROR(__xludf.DUMMYFUNCTION("""COMPUTED_VALUE"""),"Heliodor, Downtown, Manglegrove: 180")</f>
        <v>Heliodor, Downtown, Manglegrove: 180</v>
      </c>
      <c r="I74" s="45"/>
    </row>
    <row r="75">
      <c r="A75" s="53" t="str">
        <f>IFERROR(__xludf.DUMMYFUNCTION("""COMPUTED_VALUE"""),"Scale Armour")</f>
        <v>Scale Armour</v>
      </c>
      <c r="B75" s="31" t="str">
        <f>IFERROR(__xludf.DUMMYFUNCTION("""COMPUTED_VALUE"""),"Defence")</f>
        <v>Defence</v>
      </c>
      <c r="C75" s="31">
        <f>IFERROR(__xludf.DUMMYFUNCTION("""COMPUTED_VALUE"""),16.0)</f>
        <v>16</v>
      </c>
      <c r="D75" s="31">
        <f>IFERROR(__xludf.DUMMYFUNCTION("""COMPUTED_VALUE"""),17.0)</f>
        <v>17</v>
      </c>
      <c r="E75" s="31">
        <f>IFERROR(__xludf.DUMMYFUNCTION("""COMPUTED_VALUE"""),18.0)</f>
        <v>18</v>
      </c>
      <c r="F75" s="31">
        <f>IFERROR(__xludf.DUMMYFUNCTION("""COMPUTED_VALUE"""),20.0)</f>
        <v>20</v>
      </c>
      <c r="G75" s="31" t="str">
        <f>IFERROR(__xludf.DUMMYFUNCTION("""COMPUTED_VALUE"""),"--")</f>
        <v>--</v>
      </c>
      <c r="H75" s="48" t="str">
        <f>IFERROR(__xludf.DUMMYFUNCTION("""COMPUTED_VALUE"""),"Recipe: Economies of Scale")</f>
        <v>Recipe: Economies of Scale</v>
      </c>
      <c r="I75" s="41" t="str">
        <f>IFERROR(__xludf.DUMMYFUNCTION("""COMPUTED_VALUE"""),"Copper Ore: 2
Small Scale: 2")</f>
        <v>Copper Ore: 2
Small Scale: 2</v>
      </c>
    </row>
    <row r="76">
      <c r="A76" s="54" t="str">
        <f>IFERROR(__xludf.DUMMYFUNCTION("""COMPUTED_VALUE"""),"Chain Mail")</f>
        <v>Chain Mail</v>
      </c>
      <c r="B76" s="30" t="str">
        <f>IFERROR(__xludf.DUMMYFUNCTION("""COMPUTED_VALUE"""),"Defence")</f>
        <v>Defence</v>
      </c>
      <c r="C76" s="30">
        <f>IFERROR(__xludf.DUMMYFUNCTION("""COMPUTED_VALUE"""),20.0)</f>
        <v>20</v>
      </c>
      <c r="D76" s="30">
        <f>IFERROR(__xludf.DUMMYFUNCTION("""COMPUTED_VALUE"""),21.0)</f>
        <v>21</v>
      </c>
      <c r="E76" s="30">
        <f>IFERROR(__xludf.DUMMYFUNCTION("""COMPUTED_VALUE"""),23.0)</f>
        <v>23</v>
      </c>
      <c r="F76" s="30">
        <f>IFERROR(__xludf.DUMMYFUNCTION("""COMPUTED_VALUE"""),25.0)</f>
        <v>25</v>
      </c>
      <c r="G76" s="30" t="str">
        <f>IFERROR(__xludf.DUMMYFUNCTION("""COMPUTED_VALUE"""),"--")</f>
        <v>--</v>
      </c>
      <c r="H76" s="42" t="str">
        <f>IFERROR(__xludf.DUMMYFUNCTION("""COMPUTED_VALUE"""),"Hotto Steppe, Hotto: 500
Rare: Walking Corpse")</f>
        <v>Hotto Steppe, Hotto: 500
Rare: Walking Corpse</v>
      </c>
      <c r="I76" s="42"/>
    </row>
    <row r="77">
      <c r="A77" s="53" t="str">
        <f>IFERROR(__xludf.DUMMYFUNCTION("""COMPUTED_VALUE"""),"Bronze Armour")</f>
        <v>Bronze Armour</v>
      </c>
      <c r="B77" s="31" t="str">
        <f>IFERROR(__xludf.DUMMYFUNCTION("""COMPUTED_VALUE"""),"Defence")</f>
        <v>Defence</v>
      </c>
      <c r="C77" s="31">
        <f>IFERROR(__xludf.DUMMYFUNCTION("""COMPUTED_VALUE"""),24.0)</f>
        <v>24</v>
      </c>
      <c r="D77" s="31">
        <f>IFERROR(__xludf.DUMMYFUNCTION("""COMPUTED_VALUE"""),25.0)</f>
        <v>25</v>
      </c>
      <c r="E77" s="31">
        <f>IFERROR(__xludf.DUMMYFUNCTION("""COMPUTED_VALUE"""),26.0)</f>
        <v>26</v>
      </c>
      <c r="F77" s="31">
        <f>IFERROR(__xludf.DUMMYFUNCTION("""COMPUTED_VALUE"""),28.0)</f>
        <v>28</v>
      </c>
      <c r="G77" s="31" t="str">
        <f>IFERROR(__xludf.DUMMYFUNCTION("""COMPUTED_VALUE"""),"--")</f>
        <v>--</v>
      </c>
      <c r="H77" s="41" t="str">
        <f>IFERROR(__xludf.DUMMYFUNCTION("""COMPUTED_VALUE"""),"Gallopolis, Laguna di Gondolia, Gondolia: 840
Recipe: An Introduction to Armour")</f>
        <v>Gallopolis, Laguna di Gondolia, Gondolia: 840
Recipe: An Introduction to Armour</v>
      </c>
      <c r="I77" s="41" t="str">
        <f>IFERROR(__xludf.DUMMYFUNCTION("""COMPUTED_VALUE"""),"Copper Ore: 3
Flaxen Thread: 2
Warmaline: 1")</f>
        <v>Copper Ore: 3
Flaxen Thread: 2
Warmaline: 1</v>
      </c>
    </row>
    <row r="78">
      <c r="A78" s="54" t="str">
        <f>IFERROR(__xludf.DUMMYFUNCTION("""COMPUTED_VALUE"""),"Iron Cuirass")</f>
        <v>Iron Cuirass</v>
      </c>
      <c r="B78" s="30" t="str">
        <f>IFERROR(__xludf.DUMMYFUNCTION("""COMPUTED_VALUE"""),"Defence")</f>
        <v>Defence</v>
      </c>
      <c r="C78" s="30">
        <f>IFERROR(__xludf.DUMMYFUNCTION("""COMPUTED_VALUE"""),25.0)</f>
        <v>25</v>
      </c>
      <c r="D78" s="30">
        <f>IFERROR(__xludf.DUMMYFUNCTION("""COMPUTED_VALUE"""),26.0)</f>
        <v>26</v>
      </c>
      <c r="E78" s="30">
        <f>IFERROR(__xludf.DUMMYFUNCTION("""COMPUTED_VALUE"""),28.0)</f>
        <v>28</v>
      </c>
      <c r="F78" s="30">
        <f>IFERROR(__xludf.DUMMYFUNCTION("""COMPUTED_VALUE"""),30.0)</f>
        <v>30</v>
      </c>
      <c r="G78" s="30" t="str">
        <f>IFERROR(__xludf.DUMMYFUNCTION("""COMPUTED_VALUE"""),"--")</f>
        <v>--</v>
      </c>
      <c r="H78" s="42" t="str">
        <f>IFERROR(__xludf.DUMMYFUNCTION("""COMPUTED_VALUE"""),"Gondolia: 1500
Recipe: I &lt;3 Iron Armour")</f>
        <v>Gondolia: 1500
Recipe: I &lt;3 Iron Armour</v>
      </c>
      <c r="I78" s="42" t="str">
        <f>IFERROR(__xludf.DUMMYFUNCTION("""COMPUTED_VALUE"""),"Iron Ore: 3
Glass Frit: 1
Celestial Skein: 1")</f>
        <v>Iron Ore: 3
Glass Frit: 1
Celestial Skein: 1</v>
      </c>
    </row>
    <row r="79">
      <c r="A79" s="53" t="str">
        <f>IFERROR(__xludf.DUMMYFUNCTION("""COMPUTED_VALUE"""),"Iron Armour")</f>
        <v>Iron Armour</v>
      </c>
      <c r="B79" s="31" t="str">
        <f>IFERROR(__xludf.DUMMYFUNCTION("""COMPUTED_VALUE"""),"Defence")</f>
        <v>Defence</v>
      </c>
      <c r="C79" s="31">
        <f>IFERROR(__xludf.DUMMYFUNCTION("""COMPUTED_VALUE"""),32.0)</f>
        <v>32</v>
      </c>
      <c r="D79" s="31">
        <f>IFERROR(__xludf.DUMMYFUNCTION("""COMPUTED_VALUE"""),34.0)</f>
        <v>34</v>
      </c>
      <c r="E79" s="31">
        <f>IFERROR(__xludf.DUMMYFUNCTION("""COMPUTED_VALUE"""),36.0)</f>
        <v>36</v>
      </c>
      <c r="F79" s="31">
        <f>IFERROR(__xludf.DUMMYFUNCTION("""COMPUTED_VALUE"""),38.0)</f>
        <v>38</v>
      </c>
      <c r="G79" s="31" t="str">
        <f>IFERROR(__xludf.DUMMYFUNCTION("""COMPUTED_VALUE"""),"--")</f>
        <v>--</v>
      </c>
      <c r="H79" s="41" t="str">
        <f>IFERROR(__xludf.DUMMYFUNCTION("""COMPUTED_VALUE"""),"Gondolia, Octagonia: 1800
Recipe: I &lt;3 Iron Armour
Rare: Restless Armour")</f>
        <v>Gondolia, Octagonia: 1800
Recipe: I &lt;3 Iron Armour
Rare: Restless Armour</v>
      </c>
      <c r="I79" s="41" t="str">
        <f>IFERROR(__xludf.DUMMYFUNCTION("""COMPUTED_VALUE"""),"Iron Ore: 3
Glass Frit: 1
Beast Bone: 1")</f>
        <v>Iron Ore: 3
Glass Frit: 1
Beast Bone: 1</v>
      </c>
    </row>
    <row r="80">
      <c r="A80" s="55" t="str">
        <f>IFERROR(__xludf.DUMMYFUNCTION("""COMPUTED_VALUE"""),"Gallopitan Garb")</f>
        <v>Gallopitan Garb</v>
      </c>
      <c r="B80" s="30" t="str">
        <f>IFERROR(__xludf.DUMMYFUNCTION("""COMPUTED_VALUE"""),"Defence
Charm")</f>
        <v>Defence
Charm</v>
      </c>
      <c r="C80" s="30" t="str">
        <f>IFERROR(__xludf.DUMMYFUNCTION("""COMPUTED_VALUE"""),"35
23")</f>
        <v>35
23</v>
      </c>
      <c r="D80" s="30" t="str">
        <f>IFERROR(__xludf.DUMMYFUNCTION("""COMPUTED_VALUE"""),"36
24")</f>
        <v>36
24</v>
      </c>
      <c r="E80" s="30" t="str">
        <f>IFERROR(__xludf.DUMMYFUNCTION("""COMPUTED_VALUE"""),"37
25")</f>
        <v>37
25</v>
      </c>
      <c r="F80" s="30" t="str">
        <f>IFERROR(__xludf.DUMMYFUNCTION("""COMPUTED_VALUE"""),"39
26")</f>
        <v>39
26</v>
      </c>
      <c r="G80" s="30" t="str">
        <f>IFERROR(__xludf.DUMMYFUNCTION("""COMPUTED_VALUE"""),"--")</f>
        <v>--</v>
      </c>
      <c r="H80" s="42" t="str">
        <f>IFERROR(__xludf.DUMMYFUNCTION("""COMPUTED_VALUE"""),"Horse Race: Silver Cup (Easy)")</f>
        <v>Horse Race: Silver Cup (Easy)</v>
      </c>
      <c r="I80" s="42"/>
    </row>
    <row r="81">
      <c r="A81" s="53" t="str">
        <f>IFERROR(__xludf.DUMMYFUNCTION("""COMPUTED_VALUE"""),"Tortoise Shell")</f>
        <v>Tortoise Shell</v>
      </c>
      <c r="B81" s="31" t="str">
        <f>IFERROR(__xludf.DUMMYFUNCTION("""COMPUTED_VALUE"""),"Defence")</f>
        <v>Defence</v>
      </c>
      <c r="C81" s="31">
        <f>IFERROR(__xludf.DUMMYFUNCTION("""COMPUTED_VALUE"""),37.0)</f>
        <v>37</v>
      </c>
      <c r="D81" s="31">
        <f>IFERROR(__xludf.DUMMYFUNCTION("""COMPUTED_VALUE"""),38.0)</f>
        <v>38</v>
      </c>
      <c r="E81" s="31">
        <f>IFERROR(__xludf.DUMMYFUNCTION("""COMPUTED_VALUE"""),40.0)</f>
        <v>40</v>
      </c>
      <c r="F81" s="31">
        <f>IFERROR(__xludf.DUMMYFUNCTION("""COMPUTED_VALUE"""),42.0)</f>
        <v>42</v>
      </c>
      <c r="G81" s="31" t="str">
        <f>IFERROR(__xludf.DUMMYFUNCTION("""COMPUTED_VALUE"""),"--")</f>
        <v>--</v>
      </c>
      <c r="H81" s="41" t="str">
        <f>IFERROR(__xludf.DUMMYFUNCTION("""COMPUTED_VALUE"""),"Chest: The Costa Valor
Rare: Merman")</f>
        <v>Chest: The Costa Valor
Rare: Merman</v>
      </c>
      <c r="I81" s="46"/>
    </row>
    <row r="82">
      <c r="A82" s="54" t="str">
        <f>IFERROR(__xludf.DUMMYFUNCTION("""COMPUTED_VALUE"""),"Full Plate Armour")</f>
        <v>Full Plate Armour</v>
      </c>
      <c r="B82" s="30" t="str">
        <f>IFERROR(__xludf.DUMMYFUNCTION("""COMPUTED_VALUE"""),"Defence")</f>
        <v>Defence</v>
      </c>
      <c r="C82" s="30">
        <f>IFERROR(__xludf.DUMMYFUNCTION("""COMPUTED_VALUE"""),39.0)</f>
        <v>39</v>
      </c>
      <c r="D82" s="30">
        <f>IFERROR(__xludf.DUMMYFUNCTION("""COMPUTED_VALUE"""),40.0)</f>
        <v>40</v>
      </c>
      <c r="E82" s="30">
        <f>IFERROR(__xludf.DUMMYFUNCTION("""COMPUTED_VALUE"""),42.0)</f>
        <v>42</v>
      </c>
      <c r="F82" s="30">
        <f>IFERROR(__xludf.DUMMYFUNCTION("""COMPUTED_VALUE"""),44.0)</f>
        <v>44</v>
      </c>
      <c r="G82" s="30" t="str">
        <f>IFERROR(__xludf.DUMMYFUNCTION("""COMPUTED_VALUE"""),"--")</f>
        <v>--</v>
      </c>
      <c r="H82" s="42" t="str">
        <f>IFERROR(__xludf.DUMMYFUNCTION("""COMPUTED_VALUE"""),"Puerto Valor, Lonalulu: 2300
Recipe: Smithing with Steel")</f>
        <v>Puerto Valor, Lonalulu: 2300
Recipe: Smithing with Steel</v>
      </c>
      <c r="I82" s="42" t="str">
        <f>IFERROR(__xludf.DUMMYFUNCTION("""COMPUTED_VALUE"""),"Silver Ore: 3
Iron Ore: 2
Tiny Tortoise Shell: 2")</f>
        <v>Silver Ore: 3
Iron Ore: 2
Tiny Tortoise Shell: 2</v>
      </c>
    </row>
    <row r="83">
      <c r="A83" s="53" t="str">
        <f>IFERROR(__xludf.DUMMYFUNCTION("""COMPUTED_VALUE"""),"Zombie Mail")</f>
        <v>Zombie Mail</v>
      </c>
      <c r="B83" s="31" t="str">
        <f>IFERROR(__xludf.DUMMYFUNCTION("""COMPUTED_VALUE"""),"Defence")</f>
        <v>Defence</v>
      </c>
      <c r="C83" s="31">
        <f>IFERROR(__xludf.DUMMYFUNCTION("""COMPUTED_VALUE"""),42.0)</f>
        <v>42</v>
      </c>
      <c r="D83" s="31">
        <f>IFERROR(__xludf.DUMMYFUNCTION("""COMPUTED_VALUE"""),44.0)</f>
        <v>44</v>
      </c>
      <c r="E83" s="31">
        <f>IFERROR(__xludf.DUMMYFUNCTION("""COMPUTED_VALUE"""),46.0)</f>
        <v>46</v>
      </c>
      <c r="F83" s="31">
        <f>IFERROR(__xludf.DUMMYFUNCTION("""COMPUTED_VALUE"""),48.0)</f>
        <v>48</v>
      </c>
      <c r="G83" s="31" t="str">
        <f>IFERROR(__xludf.DUMMYFUNCTION("""COMPUTED_VALUE"""),"Dark Damage Reduction (25/30/40/50%)
Curse Protection (25/30/40/50%)")</f>
        <v>Dark Damage Reduction (25/30/40/50%)
Curse Protection (25/30/40/50%)</v>
      </c>
      <c r="H83" s="41" t="str">
        <f>IFERROR(__xludf.DUMMYFUNCTION("""COMPUTED_VALUE"""),"Magic Key: Lonalulu
Common: Dark Dullahan")</f>
        <v>Magic Key: Lonalulu
Common: Dark Dullahan</v>
      </c>
      <c r="I83" s="41"/>
    </row>
    <row r="84">
      <c r="A84" s="54" t="str">
        <f>IFERROR(__xludf.DUMMYFUNCTION("""COMPUTED_VALUE"""),"Silver Cuirass")</f>
        <v>Silver Cuirass</v>
      </c>
      <c r="B84" s="30" t="str">
        <f>IFERROR(__xludf.DUMMYFUNCTION("""COMPUTED_VALUE"""),"Defence")</f>
        <v>Defence</v>
      </c>
      <c r="C84" s="30">
        <f>IFERROR(__xludf.DUMMYFUNCTION("""COMPUTED_VALUE"""),42.0)</f>
        <v>42</v>
      </c>
      <c r="D84" s="30">
        <f>IFERROR(__xludf.DUMMYFUNCTION("""COMPUTED_VALUE"""),43.0)</f>
        <v>43</v>
      </c>
      <c r="E84" s="30">
        <f>IFERROR(__xludf.DUMMYFUNCTION("""COMPUTED_VALUE"""),44.0)</f>
        <v>44</v>
      </c>
      <c r="F84" s="30">
        <f>IFERROR(__xludf.DUMMYFUNCTION("""COMPUTED_VALUE"""),46.0)</f>
        <v>46</v>
      </c>
      <c r="G84" s="30" t="str">
        <f>IFERROR(__xludf.DUMMYFUNCTION("""COMPUTED_VALUE"""),"--")</f>
        <v>--</v>
      </c>
      <c r="H84" s="42" t="str">
        <f>IFERROR(__xludf.DUMMYFUNCTION("""COMPUTED_VALUE"""),"Emerald Coast, Phnom Nonh, Sniflheim: 3200
Recipe: Secrets of the Silversmiths")</f>
        <v>Emerald Coast, Phnom Nonh, Sniflheim: 3200
Recipe: Secrets of the Silversmiths</v>
      </c>
      <c r="I84" s="42" t="str">
        <f>IFERROR(__xludf.DUMMYFUNCTION("""COMPUTED_VALUE"""),"Silver Ore: 2
Glass Frit: 2
Yellow Eye: 1")</f>
        <v>Silver Ore: 2
Glass Frit: 2
Yellow Eye: 1</v>
      </c>
    </row>
    <row r="85">
      <c r="A85" s="53" t="str">
        <f>IFERROR(__xludf.DUMMYFUNCTION("""COMPUTED_VALUE"""),"Silver Mail")</f>
        <v>Silver Mail</v>
      </c>
      <c r="B85" s="31" t="str">
        <f>IFERROR(__xludf.DUMMYFUNCTION("""COMPUTED_VALUE"""),"Defence
Charm")</f>
        <v>Defence
Charm</v>
      </c>
      <c r="C85" s="31" t="str">
        <f>IFERROR(__xludf.DUMMYFUNCTION("""COMPUTED_VALUE"""),"48
31")</f>
        <v>48
31</v>
      </c>
      <c r="D85" s="31" t="str">
        <f>IFERROR(__xludf.DUMMYFUNCTION("""COMPUTED_VALUE"""),"49
32")</f>
        <v>49
32</v>
      </c>
      <c r="E85" s="31" t="str">
        <f>IFERROR(__xludf.DUMMYFUNCTION("""COMPUTED_VALUE"""),"50
33")</f>
        <v>50
33</v>
      </c>
      <c r="F85" s="31" t="str">
        <f>IFERROR(__xludf.DUMMYFUNCTION("""COMPUTED_VALUE"""),"52
35")</f>
        <v>52
35</v>
      </c>
      <c r="G85" s="31" t="str">
        <f>IFERROR(__xludf.DUMMYFUNCTION("""COMPUTED_VALUE"""),"Elemental Damage Reduction (8%)")</f>
        <v>Elemental Damage Reduction (8%)</v>
      </c>
      <c r="H85" s="41" t="str">
        <f>IFERROR(__xludf.DUMMYFUNCTION("""COMPUTED_VALUE"""),"Sniflheim: 4300
Recipe: Secrets of the Silversmiths
Rare: Infernal Armour")</f>
        <v>Sniflheim: 4300
Recipe: Secrets of the Silversmiths
Rare: Infernal Armour</v>
      </c>
      <c r="I85" s="41" t="str">
        <f>IFERROR(__xludf.DUMMYFUNCTION("""COMPUTED_VALUE"""),"Silver Ore: 3
Royal Soil: 2
Yellow Eye: 1")</f>
        <v>Silver Ore: 3
Royal Soil: 2
Yellow Eye: 1</v>
      </c>
    </row>
    <row r="86">
      <c r="A86" s="55" t="str">
        <f>IFERROR(__xludf.DUMMYFUNCTION("""COMPUTED_VALUE"""),"Drasilian Armour")</f>
        <v>Drasilian Armour</v>
      </c>
      <c r="B86" s="30" t="str">
        <f>IFERROR(__xludf.DUMMYFUNCTION("""COMPUTED_VALUE"""),"Defence
Charm")</f>
        <v>Defence
Charm</v>
      </c>
      <c r="C86" s="30" t="str">
        <f>IFERROR(__xludf.DUMMYFUNCTION("""COMPUTED_VALUE"""),"48
30")</f>
        <v>48
30</v>
      </c>
      <c r="D86" s="30" t="str">
        <f>IFERROR(__xludf.DUMMYFUNCTION("""COMPUTED_VALUE"""),"50
32")</f>
        <v>50
32</v>
      </c>
      <c r="E86" s="30" t="str">
        <f>IFERROR(__xludf.DUMMYFUNCTION("""COMPUTED_VALUE"""),"52
32")</f>
        <v>52
32</v>
      </c>
      <c r="F86" s="30" t="str">
        <f>IFERROR(__xludf.DUMMYFUNCTION("""COMPUTED_VALUE"""),"55
36")</f>
        <v>55
36</v>
      </c>
      <c r="G86" s="30" t="str">
        <f>IFERROR(__xludf.DUMMYFUNCTION("""COMPUTED_VALUE"""),"--")</f>
        <v>--</v>
      </c>
      <c r="H86" s="42" t="str">
        <f>IFERROR(__xludf.DUMMYFUNCTION("""COMPUTED_VALUE"""),"Recipe: Dress Like a Drasilian")</f>
        <v>Recipe: Dress Like a Drasilian</v>
      </c>
      <c r="I86" s="42" t="str">
        <f>IFERROR(__xludf.DUMMYFUNCTION("""COMPUTED_VALUE"""),"Platinum Ore: 2
Gold Ore: 2
Celestial Skein: 1")</f>
        <v>Platinum Ore: 2
Gold Ore: 2
Celestial Skein: 1</v>
      </c>
    </row>
    <row r="87">
      <c r="A87" s="53" t="str">
        <f>IFERROR(__xludf.DUMMYFUNCTION("""COMPUTED_VALUE"""),"Heavy Armour")</f>
        <v>Heavy Armour</v>
      </c>
      <c r="B87" s="31" t="str">
        <f>IFERROR(__xludf.DUMMYFUNCTION("""COMPUTED_VALUE"""),"Defence")</f>
        <v>Defence</v>
      </c>
      <c r="C87" s="31">
        <f>IFERROR(__xludf.DUMMYFUNCTION("""COMPUTED_VALUE"""),52.0)</f>
        <v>52</v>
      </c>
      <c r="D87" s="31">
        <f>IFERROR(__xludf.DUMMYFUNCTION("""COMPUTED_VALUE"""),55.0)</f>
        <v>55</v>
      </c>
      <c r="E87" s="31">
        <f>IFERROR(__xludf.DUMMYFUNCTION("""COMPUTED_VALUE"""),58.0)</f>
        <v>58</v>
      </c>
      <c r="F87" s="31">
        <f>IFERROR(__xludf.DUMMYFUNCTION("""COMPUTED_VALUE"""),62.0)</f>
        <v>62</v>
      </c>
      <c r="G87" s="31" t="str">
        <f>IFERROR(__xludf.DUMMYFUNCTION("""COMPUTED_VALUE"""),"Fire Damage Reduction (15%)
Ice Damage Reduction (15%)")</f>
        <v>Fire Damage Reduction (15%)
Ice Damage Reduction (15%)</v>
      </c>
      <c r="H87" s="41" t="str">
        <f>IFERROR(__xludf.DUMMYFUNCTION("""COMPUTED_VALUE"""),"Heliodor Region, Emerald Coast, Costa Valor: 5000")</f>
        <v>Heliodor Region, Emerald Coast, Costa Valor: 5000</v>
      </c>
      <c r="I87" s="46"/>
    </row>
    <row r="88">
      <c r="A88" s="54" t="str">
        <f>IFERROR(__xludf.DUMMYFUNCTION("""COMPUTED_VALUE"""),"Magic Armour")</f>
        <v>Magic Armour</v>
      </c>
      <c r="B88" s="30" t="str">
        <f>IFERROR(__xludf.DUMMYFUNCTION("""COMPUTED_VALUE"""),"Defence
Magic Might
Magic Mend")</f>
        <v>Defence
Magic Might
Magic Mend</v>
      </c>
      <c r="C88" s="30" t="str">
        <f>IFERROR(__xludf.DUMMYFUNCTION("""COMPUTED_VALUE"""),"55
15
15")</f>
        <v>55
15
15</v>
      </c>
      <c r="D88" s="30" t="str">
        <f>IFERROR(__xludf.DUMMYFUNCTION("""COMPUTED_VALUE"""),"58
16
16")</f>
        <v>58
16
16</v>
      </c>
      <c r="E88" s="30" t="str">
        <f>IFERROR(__xludf.DUMMYFUNCTION("""COMPUTED_VALUE"""),"61
17
17")</f>
        <v>61
17
17</v>
      </c>
      <c r="F88" s="30" t="str">
        <f>IFERROR(__xludf.DUMMYFUNCTION("""COMPUTED_VALUE"""),"65
19
19")</f>
        <v>65
19
19</v>
      </c>
      <c r="G88" s="30" t="str">
        <f>IFERROR(__xludf.DUMMYFUNCTION("""COMPUTED_VALUE"""),"Elemental Damage Reduction (12%)")</f>
        <v>Elemental Damage Reduction (12%)</v>
      </c>
      <c r="H88" s="42" t="str">
        <f>IFERROR(__xludf.DUMMYFUNCTION("""COMPUTED_VALUE"""),"Angri-La: 6100
Recipe: That's Magic")</f>
        <v>Angri-La: 6100
Recipe: That's Magic</v>
      </c>
      <c r="I88" s="42" t="str">
        <f>IFERROR(__xludf.DUMMYFUNCTION("""COMPUTED_VALUE"""),"Platinum Ore: 2
Spellbound Bough: 2
Blue Eye: 2")</f>
        <v>Platinum Ore: 2
Spellbound Bough: 2
Blue Eye: 2</v>
      </c>
    </row>
    <row r="89">
      <c r="A89" s="53" t="str">
        <f>IFERROR(__xludf.DUMMYFUNCTION("""COMPUTED_VALUE"""),"Dragon Mail")</f>
        <v>Dragon Mail</v>
      </c>
      <c r="B89" s="31" t="str">
        <f>IFERROR(__xludf.DUMMYFUNCTION("""COMPUTED_VALUE"""),"Defence")</f>
        <v>Defence</v>
      </c>
      <c r="C89" s="31">
        <f>IFERROR(__xludf.DUMMYFUNCTION("""COMPUTED_VALUE"""),60.0)</f>
        <v>60</v>
      </c>
      <c r="D89" s="31">
        <f>IFERROR(__xludf.DUMMYFUNCTION("""COMPUTED_VALUE"""),63.0)</f>
        <v>63</v>
      </c>
      <c r="E89" s="31">
        <f>IFERROR(__xludf.DUMMYFUNCTION("""COMPUTED_VALUE"""),66.0)</f>
        <v>66</v>
      </c>
      <c r="F89" s="31">
        <f>IFERROR(__xludf.DUMMYFUNCTION("""COMPUTED_VALUE"""),69.0)</f>
        <v>69</v>
      </c>
      <c r="G89" s="31" t="str">
        <f>IFERROR(__xludf.DUMMYFUNCTION("""COMPUTED_VALUE"""),"Fire Damage Reduction (20%)
Ice Damage Reduction (20%)")</f>
        <v>Fire Damage Reduction (20%)
Ice Damage Reduction (20%)</v>
      </c>
      <c r="H89" s="48" t="str">
        <f>IFERROR(__xludf.DUMMYFUNCTION("""COMPUTED_VALUE"""),"Octagonia, Puerto Valor, Phnom Nonh: 12000")</f>
        <v>Octagonia, Puerto Valor, Phnom Nonh: 12000</v>
      </c>
      <c r="I89" s="41" t="str">
        <f>IFERROR(__xludf.DUMMYFUNCTION("""COMPUTED_VALUE"""),"Mythril Ore: 3
Dragon Hide: 2
Red Eye: 2")</f>
        <v>Mythril Ore: 3
Dragon Hide: 2
Red Eye: 2</v>
      </c>
    </row>
    <row r="90">
      <c r="A90" s="54" t="str">
        <f>IFERROR(__xludf.DUMMYFUNCTION("""COMPUTED_VALUE"""),"Platinum Mail")</f>
        <v>Platinum Mail</v>
      </c>
      <c r="B90" s="30" t="str">
        <f>IFERROR(__xludf.DUMMYFUNCTION("""COMPUTED_VALUE"""),"Defence
Charm")</f>
        <v>Defence
Charm</v>
      </c>
      <c r="C90" s="30" t="str">
        <f>IFERROR(__xludf.DUMMYFUNCTION("""COMPUTED_VALUE"""),"63
43")</f>
        <v>63
43</v>
      </c>
      <c r="D90" s="30" t="str">
        <f>IFERROR(__xludf.DUMMYFUNCTION("""COMPUTED_VALUE"""),"66
46")</f>
        <v>66
46</v>
      </c>
      <c r="E90" s="30" t="str">
        <f>IFERROR(__xludf.DUMMYFUNCTION("""COMPUTED_VALUE"""),"69
49")</f>
        <v>69
49</v>
      </c>
      <c r="F90" s="30" t="str">
        <f>IFERROR(__xludf.DUMMYFUNCTION("""COMPUTED_VALUE"""),"73
52")</f>
        <v>73
52</v>
      </c>
      <c r="G90" s="30" t="str">
        <f>IFERROR(__xludf.DUMMYFUNCTION("""COMPUTED_VALUE"""),"Elemental Damage Reduction (12%)")</f>
        <v>Elemental Damage Reduction (12%)</v>
      </c>
      <c r="H90" s="42" t="str">
        <f>IFERROR(__xludf.DUMMYFUNCTION("""COMPUTED_VALUE"""),"Recipe: Platinum Plating
Rare: Lethal Armour")</f>
        <v>Recipe: Platinum Plating
Rare: Lethal Armour</v>
      </c>
      <c r="I90" s="42" t="str">
        <f>IFERROR(__xludf.DUMMYFUNCTION("""COMPUTED_VALUE"""),"Platinum Ore: 3
Sunny Citrine: 1
Maiden's Favour: 2")</f>
        <v>Platinum Ore: 3
Sunny Citrine: 1
Maiden's Favour: 2</v>
      </c>
    </row>
    <row r="91">
      <c r="A91" s="53" t="str">
        <f>IFERROR(__xludf.DUMMYFUNCTION("""COMPUTED_VALUE"""),"Spiked Armour")</f>
        <v>Spiked Armour</v>
      </c>
      <c r="B91" s="31" t="str">
        <f>IFERROR(__xludf.DUMMYFUNCTION("""COMPUTED_VALUE"""),"Defence")</f>
        <v>Defence</v>
      </c>
      <c r="C91" s="31">
        <f>IFERROR(__xludf.DUMMYFUNCTION("""COMPUTED_VALUE"""),68.0)</f>
        <v>68</v>
      </c>
      <c r="D91" s="31">
        <f>IFERROR(__xludf.DUMMYFUNCTION("""COMPUTED_VALUE"""),71.0)</f>
        <v>71</v>
      </c>
      <c r="E91" s="31">
        <f>IFERROR(__xludf.DUMMYFUNCTION("""COMPUTED_VALUE"""),74.0)</f>
        <v>74</v>
      </c>
      <c r="F91" s="31">
        <f>IFERROR(__xludf.DUMMYFUNCTION("""COMPUTED_VALUE"""),77.0)</f>
        <v>77</v>
      </c>
      <c r="G91" s="31" t="str">
        <f>IFERROR(__xludf.DUMMYFUNCTION("""COMPUTED_VALUE"""),"Chance of Reflecting Damage Taken (50%)")</f>
        <v>Chance of Reflecting Damage Taken (50%)</v>
      </c>
      <c r="H91" s="41" t="str">
        <f>IFERROR(__xludf.DUMMYFUNCTION("""COMPUTED_VALUE"""),"Mini Medal Stamp: 55
Rare: Killing Machine")</f>
        <v>Mini Medal Stamp: 55
Rare: Killing Machine</v>
      </c>
      <c r="I91" s="41"/>
    </row>
    <row r="92">
      <c r="A92" s="54" t="str">
        <f>IFERROR(__xludf.DUMMYFUNCTION("""COMPUTED_VALUE"""),"Dancer's Mail")</f>
        <v>Dancer's Mail</v>
      </c>
      <c r="B92" s="30" t="str">
        <f>IFERROR(__xludf.DUMMYFUNCTION("""COMPUTED_VALUE"""),"Defence
Evasion %")</f>
        <v>Defence
Evasion %</v>
      </c>
      <c r="C92" s="30" t="str">
        <f>IFERROR(__xludf.DUMMYFUNCTION("""COMPUTED_VALUE"""),"72
4")</f>
        <v>72
4</v>
      </c>
      <c r="D92" s="30" t="str">
        <f>IFERROR(__xludf.DUMMYFUNCTION("""COMPUTED_VALUE"""),"74
4")</f>
        <v>74
4</v>
      </c>
      <c r="E92" s="30" t="str">
        <f>IFERROR(__xludf.DUMMYFUNCTION("""COMPUTED_VALUE"""),"77
4")</f>
        <v>77
4</v>
      </c>
      <c r="F92" s="30" t="str">
        <f>IFERROR(__xludf.DUMMYFUNCTION("""COMPUTED_VALUE"""),"80
4")</f>
        <v>80
4</v>
      </c>
      <c r="G92" s="30" t="str">
        <f>IFERROR(__xludf.DUMMYFUNCTION("""COMPUTED_VALUE"""),"--")</f>
        <v>--</v>
      </c>
      <c r="H92" s="42" t="str">
        <f>IFERROR(__xludf.DUMMYFUNCTION("""COMPUTED_VALUE"""),"Recipe: Making the Most of Mythril")</f>
        <v>Recipe: Making the Most of Mythril</v>
      </c>
      <c r="I92" s="42" t="str">
        <f>IFERROR(__xludf.DUMMYFUNCTION("""COMPUTED_VALUE"""),"Mythril Ore: 3
Slipweed: 2
Buzzberries: 2")</f>
        <v>Mythril Ore: 3
Slipweed: 2
Buzzberries: 2</v>
      </c>
    </row>
    <row r="93">
      <c r="A93" s="56" t="str">
        <f>IFERROR(__xludf.DUMMYFUNCTION("""COMPUTED_VALUE"""),"Eight's Armour")</f>
        <v>Eight's Armour</v>
      </c>
      <c r="B93" s="31" t="str">
        <f>IFERROR(__xludf.DUMMYFUNCTION("""COMPUTED_VALUE"""),"Defence
Charm")</f>
        <v>Defence
Charm</v>
      </c>
      <c r="C93" s="31" t="str">
        <f>IFERROR(__xludf.DUMMYFUNCTION("""COMPUTED_VALUE"""),"77
39")</f>
        <v>77
39</v>
      </c>
      <c r="D93" s="31" t="str">
        <f>IFERROR(__xludf.DUMMYFUNCTION("""COMPUTED_VALUE"""),"80
41")</f>
        <v>80
41</v>
      </c>
      <c r="E93" s="31" t="str">
        <f>IFERROR(__xludf.DUMMYFUNCTION("""COMPUTED_VALUE"""),"83
43")</f>
        <v>83
43</v>
      </c>
      <c r="F93" s="31" t="str">
        <f>IFERROR(__xludf.DUMMYFUNCTION("""COMPUTED_VALUE"""),"87
45")</f>
        <v>87
45</v>
      </c>
      <c r="G93" s="31" t="str">
        <f>IFERROR(__xludf.DUMMYFUNCTION("""COMPUTED_VALUE"""),"--")</f>
        <v>--</v>
      </c>
      <c r="H93" s="41" t="str">
        <f>IFERROR(__xludf.DUMMYFUNCTION("""COMPUTED_VALUE"""),"Story
Haggle with brothers in Gondolia, minimum price 10000 (Part 2)")</f>
        <v>Story
Haggle with brothers in Gondolia, minimum price 10000 (Part 2)</v>
      </c>
      <c r="I93" s="41"/>
    </row>
    <row r="94">
      <c r="A94" s="54" t="str">
        <f>IFERROR(__xludf.DUMMYFUNCTION("""COMPUTED_VALUE"""),"Metal Slime Armour")</f>
        <v>Metal Slime Armour</v>
      </c>
      <c r="B94" s="30" t="str">
        <f>IFERROR(__xludf.DUMMYFUNCTION("""COMPUTED_VALUE"""),"Defence")</f>
        <v>Defence</v>
      </c>
      <c r="C94" s="30">
        <f>IFERROR(__xludf.DUMMYFUNCTION("""COMPUTED_VALUE"""),79.0)</f>
        <v>79</v>
      </c>
      <c r="D94" s="30">
        <f>IFERROR(__xludf.DUMMYFUNCTION("""COMPUTED_VALUE"""),82.0)</f>
        <v>82</v>
      </c>
      <c r="E94" s="30">
        <f>IFERROR(__xludf.DUMMYFUNCTION("""COMPUTED_VALUE"""),85.0)</f>
        <v>85</v>
      </c>
      <c r="F94" s="30">
        <f>IFERROR(__xludf.DUMMYFUNCTION("""COMPUTED_VALUE"""),88.0)</f>
        <v>88</v>
      </c>
      <c r="G94" s="30" t="str">
        <f>IFERROR(__xludf.DUMMYFUNCTION("""COMPUTED_VALUE"""),"Elemental Damage Reduction (15%)")</f>
        <v>Elemental Damage Reduction (15%)</v>
      </c>
      <c r="H94" s="42" t="str">
        <f>IFERROR(__xludf.DUMMYFUNCTION("""COMPUTED_VALUE"""),"Quest: A Dish Served Cold
Recipe: Things to Do with Metal Goo")</f>
        <v>Quest: A Dish Served Cold
Recipe: Things to Do with Metal Goo</v>
      </c>
      <c r="I94" s="42" t="str">
        <f>IFERROR(__xludf.DUMMYFUNCTION("""COMPUTED_VALUE"""),"Molten Globules: 1
Slimedrop: 1
Densinium: 2
Large Scale: 2")</f>
        <v>Molten Globules: 1
Slimedrop: 1
Densinium: 2
Large Scale: 2</v>
      </c>
    </row>
    <row r="95">
      <c r="A95" s="53" t="str">
        <f>IFERROR(__xludf.DUMMYFUNCTION("""COMPUTED_VALUE"""),"Bandit Mail")</f>
        <v>Bandit Mail</v>
      </c>
      <c r="B95" s="31" t="str">
        <f>IFERROR(__xludf.DUMMYFUNCTION("""COMPUTED_VALUE"""),"Defence")</f>
        <v>Defence</v>
      </c>
      <c r="C95" s="31">
        <f>IFERROR(__xludf.DUMMYFUNCTION("""COMPUTED_VALUE"""),80.0)</f>
        <v>80</v>
      </c>
      <c r="D95" s="31">
        <f>IFERROR(__xludf.DUMMYFUNCTION("""COMPUTED_VALUE"""),83.0)</f>
        <v>83</v>
      </c>
      <c r="E95" s="31">
        <f>IFERROR(__xludf.DUMMYFUNCTION("""COMPUTED_VALUE"""),86.0)</f>
        <v>86</v>
      </c>
      <c r="F95" s="31">
        <f>IFERROR(__xludf.DUMMYFUNCTION("""COMPUTED_VALUE"""),90.0)</f>
        <v>90</v>
      </c>
      <c r="G95" s="31" t="str">
        <f>IFERROR(__xludf.DUMMYFUNCTION("""COMPUTED_VALUE"""),"--")</f>
        <v>--</v>
      </c>
      <c r="H95" s="41" t="str">
        <f>IFERROR(__xludf.DUMMYFUNCTION("""COMPUTED_VALUE"""),"Heliodor, Hotto, Gallopolis, Octagonia, Sniflheim: 13000
Rare: Armful")</f>
        <v>Heliodor, Hotto, Gallopolis, Octagonia, Sniflheim: 13000
Rare: Armful</v>
      </c>
      <c r="I95" s="41"/>
    </row>
    <row r="96">
      <c r="A96" s="54" t="str">
        <f>IFERROR(__xludf.DUMMYFUNCTION("""COMPUTED_VALUE"""),"Gigant Armour")</f>
        <v>Gigant Armour</v>
      </c>
      <c r="B96" s="30" t="str">
        <f>IFERROR(__xludf.DUMMYFUNCTION("""COMPUTED_VALUE"""),"Defence")</f>
        <v>Defence</v>
      </c>
      <c r="C96" s="30">
        <f>IFERROR(__xludf.DUMMYFUNCTION("""COMPUTED_VALUE"""),90.0)</f>
        <v>90</v>
      </c>
      <c r="D96" s="30">
        <f>IFERROR(__xludf.DUMMYFUNCTION("""COMPUTED_VALUE"""),93.0)</f>
        <v>93</v>
      </c>
      <c r="E96" s="30">
        <f>IFERROR(__xludf.DUMMYFUNCTION("""COMPUTED_VALUE"""),97.0)</f>
        <v>97</v>
      </c>
      <c r="F96" s="30">
        <f>IFERROR(__xludf.DUMMYFUNCTION("""COMPUTED_VALUE"""),101.0)</f>
        <v>101</v>
      </c>
      <c r="G96" s="30" t="str">
        <f>IFERROR(__xludf.DUMMYFUNCTION("""COMPUTED_VALUE"""),"Fire Damage Reduction (15%)
Ice Damage Reduction (15%)
Lightning Damage Reduction (15%)")</f>
        <v>Fire Damage Reduction (15%)
Ice Damage Reduction (15%)
Lightning Damage Reduction (15%)</v>
      </c>
      <c r="H96" s="42" t="str">
        <f>IFERROR(__xludf.DUMMYFUNCTION("""COMPUTED_VALUE"""),"Heliodor: 18000")</f>
        <v>Heliodor: 18000</v>
      </c>
      <c r="I96" s="42"/>
    </row>
    <row r="97">
      <c r="A97" s="53" t="str">
        <f>IFERROR(__xludf.DUMMYFUNCTION("""COMPUTED_VALUE"""),"Liquid Metal Armour")</f>
        <v>Liquid Metal Armour</v>
      </c>
      <c r="B97" s="31" t="str">
        <f>IFERROR(__xludf.DUMMYFUNCTION("""COMPUTED_VALUE"""),"Defence")</f>
        <v>Defence</v>
      </c>
      <c r="C97" s="31">
        <f>IFERROR(__xludf.DUMMYFUNCTION("""COMPUTED_VALUE"""),97.0)</f>
        <v>97</v>
      </c>
      <c r="D97" s="31">
        <f>IFERROR(__xludf.DUMMYFUNCTION("""COMPUTED_VALUE"""),100.0)</f>
        <v>100</v>
      </c>
      <c r="E97" s="31">
        <f>IFERROR(__xludf.DUMMYFUNCTION("""COMPUTED_VALUE"""),104.0)</f>
        <v>104</v>
      </c>
      <c r="F97" s="31">
        <f>IFERROR(__xludf.DUMMYFUNCTION("""COMPUTED_VALUE"""),111.0)</f>
        <v>111</v>
      </c>
      <c r="G97" s="31" t="str">
        <f>IFERROR(__xludf.DUMMYFUNCTION("""COMPUTED_VALUE"""),"Elemental Damage Reduction (18%)")</f>
        <v>Elemental Damage Reduction (18%)</v>
      </c>
      <c r="H97" s="41" t="str">
        <f>IFERROR(__xludf.DUMMYFUNCTION("""COMPUTED_VALUE"""),"Hotto: 48000
Recipe: In Fine Fettle with Liquid Metal
Rare: Metal Dragon")</f>
        <v>Hotto: 48000
Recipe: In Fine Fettle with Liquid Metal
Rare: Metal Dragon</v>
      </c>
      <c r="I97" s="41" t="str">
        <f>IFERROR(__xludf.DUMMYFUNCTION("""COMPUTED_VALUE"""),"Molten Globules: 1
Goobricant: 1
Dragon Horn: 2
Platinum Ore: 2")</f>
        <v>Molten Globules: 1
Goobricant: 1
Dragon Horn: 2
Platinum Ore: 2</v>
      </c>
    </row>
    <row r="98">
      <c r="A98" s="55" t="str">
        <f>IFERROR(__xludf.DUMMYFUNCTION("""COMPUTED_VALUE"""),"Irwin's Armour")</f>
        <v>Irwin's Armour</v>
      </c>
      <c r="B98" s="30" t="str">
        <f>IFERROR(__xludf.DUMMYFUNCTION("""COMPUTED_VALUE"""),"Defence
Charm")</f>
        <v>Defence
Charm</v>
      </c>
      <c r="C98" s="30" t="str">
        <f>IFERROR(__xludf.DUMMYFUNCTION("""COMPUTED_VALUE"""),"104
79")</f>
        <v>104
79</v>
      </c>
      <c r="D98" s="30" t="str">
        <f>IFERROR(__xludf.DUMMYFUNCTION("""COMPUTED_VALUE"""),"110
83")</f>
        <v>110
83</v>
      </c>
      <c r="E98" s="30" t="str">
        <f>IFERROR(__xludf.DUMMYFUNCTION("""COMPUTED_VALUE"""),"117
87")</f>
        <v>117
87</v>
      </c>
      <c r="F98" s="30" t="str">
        <f>IFERROR(__xludf.DUMMYFUNCTION("""COMPUTED_VALUE"""),"124
91")</f>
        <v>124
91</v>
      </c>
      <c r="G98" s="30" t="str">
        <f>IFERROR(__xludf.DUMMYFUNCTION("""COMPUTED_VALUE"""),"Elemental Damage Reduction (10/12/15/20%)
Curse Protection (30/35/40/50%)")</f>
        <v>Elemental Damage Reduction (10/12/15/20%)
Curse Protection (30/35/40/50%)</v>
      </c>
      <c r="H98" s="42" t="str">
        <f>IFERROR(__xludf.DUMMYFUNCTION("""COMPUTED_VALUE"""),"Postgame Event: Dundrasil")</f>
        <v>Postgame Event: Dundrasil</v>
      </c>
      <c r="I98" s="42"/>
    </row>
    <row r="99">
      <c r="A99" s="53" t="str">
        <f>IFERROR(__xludf.DUMMYFUNCTION("""COMPUTED_VALUE"""),"Sacred Armour")</f>
        <v>Sacred Armour</v>
      </c>
      <c r="B99" s="31" t="str">
        <f>IFERROR(__xludf.DUMMYFUNCTION("""COMPUTED_VALUE"""),"Defence")</f>
        <v>Defence</v>
      </c>
      <c r="C99" s="31">
        <f>IFERROR(__xludf.DUMMYFUNCTION("""COMPUTED_VALUE"""),100.0)</f>
        <v>100</v>
      </c>
      <c r="D99" s="31">
        <f>IFERROR(__xludf.DUMMYFUNCTION("""COMPUTED_VALUE"""),106.0)</f>
        <v>106</v>
      </c>
      <c r="E99" s="31">
        <f>IFERROR(__xludf.DUMMYFUNCTION("""COMPUTED_VALUE"""),113.0)</f>
        <v>113</v>
      </c>
      <c r="F99" s="31">
        <f>IFERROR(__xludf.DUMMYFUNCTION("""COMPUTED_VALUE"""),120.0)</f>
        <v>120</v>
      </c>
      <c r="G99" s="31" t="str">
        <f>IFERROR(__xludf.DUMMYFUNCTION("""COMPUTED_VALUE"""),"HP/Turn (30)")</f>
        <v>HP/Turn (30)</v>
      </c>
      <c r="H99" s="41" t="str">
        <f>IFERROR(__xludf.DUMMYFUNCTION("""COMPUTED_VALUE"""),"Chest: Drustan's Labyrinth - Trial Isle")</f>
        <v>Chest: Drustan's Labyrinth - Trial Isle</v>
      </c>
      <c r="I99" s="41"/>
    </row>
    <row r="100">
      <c r="A100" s="54" t="str">
        <f>IFERROR(__xludf.DUMMYFUNCTION("""COMPUTED_VALUE"""),"Mirror Armour")</f>
        <v>Mirror Armour</v>
      </c>
      <c r="B100" s="30" t="str">
        <f>IFERROR(__xludf.DUMMYFUNCTION("""COMPUTED_VALUE"""),"Defence
Charm")</f>
        <v>Defence
Charm</v>
      </c>
      <c r="C100" s="30" t="str">
        <f>IFERROR(__xludf.DUMMYFUNCTION("""COMPUTED_VALUE"""),"98
79")</f>
        <v>98
79</v>
      </c>
      <c r="D100" s="30" t="str">
        <f>IFERROR(__xludf.DUMMYFUNCTION("""COMPUTED_VALUE"""),"104
83")</f>
        <v>104
83</v>
      </c>
      <c r="E100" s="30" t="str">
        <f>IFERROR(__xludf.DUMMYFUNCTION("""COMPUTED_VALUE"""),"111
83")</f>
        <v>111
83</v>
      </c>
      <c r="F100" s="30" t="str">
        <f>IFERROR(__xludf.DUMMYFUNCTION("""COMPUTED_VALUE"""),"118
91")</f>
        <v>118
91</v>
      </c>
      <c r="G100" s="30" t="str">
        <f>IFERROR(__xludf.DUMMYFUNCTION("""COMPUTED_VALUE"""),"Chance of Reflecting Incoming Spells (20%)")</f>
        <v>Chance of Reflecting Incoming Spells (20%)</v>
      </c>
      <c r="H100" s="42" t="str">
        <f>IFERROR(__xludf.DUMMYFUNCTION("""COMPUTED_VALUE"""),"Havens Above, Trial Isle: 55000")</f>
        <v>Havens Above, Trial Isle: 55000</v>
      </c>
      <c r="I100" s="42"/>
    </row>
    <row r="101">
      <c r="A101" s="53" t="str">
        <f>IFERROR(__xludf.DUMMYFUNCTION("""COMPUTED_VALUE"""),"Legendary Armour")</f>
        <v>Legendary Armour</v>
      </c>
      <c r="B101" s="31" t="str">
        <f>IFERROR(__xludf.DUMMYFUNCTION("""COMPUTED_VALUE"""),"Defence")</f>
        <v>Defence</v>
      </c>
      <c r="C101" s="31">
        <f>IFERROR(__xludf.DUMMYFUNCTION("""COMPUTED_VALUE"""),120.0)</f>
        <v>120</v>
      </c>
      <c r="D101" s="31">
        <f>IFERROR(__xludf.DUMMYFUNCTION("""COMPUTED_VALUE"""),127.0)</f>
        <v>127</v>
      </c>
      <c r="E101" s="31">
        <f>IFERROR(__xludf.DUMMYFUNCTION("""COMPUTED_VALUE"""),134.0)</f>
        <v>134</v>
      </c>
      <c r="F101" s="31">
        <f>IFERROR(__xludf.DUMMYFUNCTION("""COMPUTED_VALUE"""),141.0)</f>
        <v>141</v>
      </c>
      <c r="G101" s="31" t="str">
        <f>IFERROR(__xludf.DUMMYFUNCTION("""COMPUTED_VALUE"""),"Fire Damage Reduction (25%)
Ice Damage Reduction (25%)
HP Regeneration When Moving (1/1/2/3)
MP Regeneration When Moving (1/1/2/3)")</f>
        <v>Fire Damage Reduction (25%)
Ice Damage Reduction (25%)
HP Regeneration When Moving (1/1/2/3)
MP Regeneration When Moving (1/1/2/3)</v>
      </c>
      <c r="H101" s="41" t="str">
        <f>IFERROR(__xludf.DUMMYFUNCTION("""COMPUTED_VALUE"""),"Recipe: The Stuff of Legend
Rare: Labradrake")</f>
        <v>Recipe: The Stuff of Legend
Rare: Labradrake</v>
      </c>
      <c r="I101" s="41" t="str">
        <f>IFERROR(__xludf.DUMMYFUNCTION("""COMPUTED_VALUE"""),"Dracolyte: 3
Angel Bell: 3
Royal Ruby: 2
Crimsonite: 1
Sainted Soma: 2")</f>
        <v>Dracolyte: 3
Angel Bell: 3
Royal Ruby: 2
Crimsonite: 1
Sainted Soma: 2</v>
      </c>
    </row>
    <row r="102">
      <c r="A102" s="54" t="str">
        <f>IFERROR(__xludf.DUMMYFUNCTION("""COMPUTED_VALUE"""),"Metal King Armour")</f>
        <v>Metal King Armour</v>
      </c>
      <c r="B102" s="30" t="str">
        <f>IFERROR(__xludf.DUMMYFUNCTION("""COMPUTED_VALUE"""),"Defence")</f>
        <v>Defence</v>
      </c>
      <c r="C102" s="30">
        <f>IFERROR(__xludf.DUMMYFUNCTION("""COMPUTED_VALUE"""),126.0)</f>
        <v>126</v>
      </c>
      <c r="D102" s="30">
        <f>IFERROR(__xludf.DUMMYFUNCTION("""COMPUTED_VALUE"""),133.0)</f>
        <v>133</v>
      </c>
      <c r="E102" s="30">
        <f>IFERROR(__xludf.DUMMYFUNCTION("""COMPUTED_VALUE"""),140.0)</f>
        <v>140</v>
      </c>
      <c r="F102" s="30">
        <f>IFERROR(__xludf.DUMMYFUNCTION("""COMPUTED_VALUE"""),148.0)</f>
        <v>148</v>
      </c>
      <c r="G102" s="30" t="str">
        <f>IFERROR(__xludf.DUMMYFUNCTION("""COMPUTED_VALUE"""),"Elemental Damage Reduction (20%)")</f>
        <v>Elemental Damage Reduction (20%)</v>
      </c>
      <c r="H102" s="42" t="str">
        <f>IFERROR(__xludf.DUMMYFUNCTION("""COMPUTED_VALUE"""),"Cobblestone: 98000
Ultimate Key: Insula Occidentalis
Rare: Vicious Metal Dragon")</f>
        <v>Cobblestone: 98000
Ultimate Key: Insula Occidentalis
Rare: Vicious Metal Dragon</v>
      </c>
      <c r="I102" s="42"/>
    </row>
    <row r="103">
      <c r="A103" s="56" t="str">
        <f>IFERROR(__xludf.DUMMYFUNCTION("""COMPUTED_VALUE"""),"Drustan's Armour")</f>
        <v>Drustan's Armour</v>
      </c>
      <c r="B103" s="31" t="str">
        <f>IFERROR(__xludf.DUMMYFUNCTION("""COMPUTED_VALUE"""),"Defence
Charm")</f>
        <v>Defence
Charm</v>
      </c>
      <c r="C103" s="31" t="str">
        <f>IFERROR(__xludf.DUMMYFUNCTION("""COMPUTED_VALUE"""),"150
42")</f>
        <v>150
42</v>
      </c>
      <c r="D103" s="31" t="str">
        <f>IFERROR(__xludf.DUMMYFUNCTION("""COMPUTED_VALUE"""),"162
44")</f>
        <v>162
44</v>
      </c>
      <c r="E103" s="31" t="str">
        <f>IFERROR(__xludf.DUMMYFUNCTION("""COMPUTED_VALUE"""),"174
47")</f>
        <v>174
47</v>
      </c>
      <c r="F103" s="31" t="str">
        <f>IFERROR(__xludf.DUMMYFUNCTION("""COMPUTED_VALUE"""),"188
50")</f>
        <v>188
50</v>
      </c>
      <c r="G103" s="64" t="str">
        <f>IFERROR(__xludf.DUMMYFUNCTION("""COMPUTED_VALUE"""),"Fire Damage Reduction (10/15/20/25%)
Ice Damage Reduction (10/15/20/25%)")</f>
        <v>Fire Damage Reduction (10/15/20/25%)
Ice Damage Reduction (10/15/20/25%)</v>
      </c>
      <c r="H103" s="41" t="str">
        <f>IFERROR(__xludf.DUMMYFUNCTION("""COMPUTED_VALUE"""),"Chest: Luminary's Trial 1F")</f>
        <v>Chest: Luminary's Trial 1F</v>
      </c>
      <c r="I103" s="41"/>
    </row>
    <row r="104">
      <c r="A104" s="52" t="str">
        <f>IFERROR(__xludf.DUMMYFUNCTION("""COMPUTED_VALUE"""),"Robes")</f>
        <v>Robes</v>
      </c>
      <c r="B104" s="7"/>
      <c r="C104" s="7"/>
      <c r="D104" s="7"/>
      <c r="E104" s="7"/>
      <c r="F104" s="7"/>
      <c r="G104" s="7"/>
      <c r="H104" s="7"/>
      <c r="I104" s="8"/>
    </row>
    <row r="105">
      <c r="A105" s="53" t="str">
        <f>IFERROR(__xludf.DUMMYFUNCTION("""COMPUTED_VALUE"""),"Silk Robe")</f>
        <v>Silk Robe</v>
      </c>
      <c r="B105" s="31" t="str">
        <f>IFERROR(__xludf.DUMMYFUNCTION("""COMPUTED_VALUE"""),"Defence
Magic Might")</f>
        <v>Defence
Magic Might</v>
      </c>
      <c r="C105" s="31" t="str">
        <f>IFERROR(__xludf.DUMMYFUNCTION("""COMPUTED_VALUE"""),"10
4")</f>
        <v>10
4</v>
      </c>
      <c r="D105" s="31" t="str">
        <f>IFERROR(__xludf.DUMMYFUNCTION("""COMPUTED_VALUE"""),"11
5")</f>
        <v>11
5</v>
      </c>
      <c r="E105" s="31" t="str">
        <f>IFERROR(__xludf.DUMMYFUNCTION("""COMPUTED_VALUE"""),"12
5")</f>
        <v>12
5</v>
      </c>
      <c r="F105" s="31" t="str">
        <f>IFERROR(__xludf.DUMMYFUNCTION("""COMPUTED_VALUE"""),"14
6")</f>
        <v>14
6</v>
      </c>
      <c r="G105" s="31" t="str">
        <f>IFERROR(__xludf.DUMMYFUNCTION("""COMPUTED_VALUE"""),"--")</f>
        <v>--</v>
      </c>
      <c r="H105" s="41" t="str">
        <f>IFERROR(__xludf.DUMMYFUNCTION("""COMPUTED_VALUE"""),"Rare: Wizened Wizard")</f>
        <v>Rare: Wizened Wizard</v>
      </c>
      <c r="I105" s="41"/>
    </row>
    <row r="106">
      <c r="A106" s="54" t="str">
        <f>IFERROR(__xludf.DUMMYFUNCTION("""COMPUTED_VALUE"""),"Robe of Serenity")</f>
        <v>Robe of Serenity</v>
      </c>
      <c r="B106" s="30" t="str">
        <f>IFERROR(__xludf.DUMMYFUNCTION("""COMPUTED_VALUE"""),"Defence
Magic Might
Magic Mend")</f>
        <v>Defence
Magic Might
Magic Mend</v>
      </c>
      <c r="C106" s="30" t="str">
        <f>IFERROR(__xludf.DUMMYFUNCTION("""COMPUTED_VALUE"""),"34
13
13")</f>
        <v>34
13
13</v>
      </c>
      <c r="D106" s="30" t="str">
        <f>IFERROR(__xludf.DUMMYFUNCTION("""COMPUTED_VALUE"""),"35
13
13")</f>
        <v>35
13
13</v>
      </c>
      <c r="E106" s="30" t="str">
        <f>IFERROR(__xludf.DUMMYFUNCTION("""COMPUTED_VALUE"""),"37
14
14")</f>
        <v>37
14
14</v>
      </c>
      <c r="F106" s="30" t="str">
        <f>IFERROR(__xludf.DUMMYFUNCTION("""COMPUTED_VALUE"""),"39
15
15")</f>
        <v>39
15
15</v>
      </c>
      <c r="G106" s="30" t="str">
        <f>IFERROR(__xludf.DUMMYFUNCTION("""COMPUTED_VALUE"""),"HP/Turn (5)")</f>
        <v>HP/Turn (5)</v>
      </c>
      <c r="H106" s="42" t="str">
        <f>IFERROR(__xludf.DUMMYFUNCTION("""COMPUTED_VALUE"""),"Quest: A Path to Paradise
Recipe: Crafting Comforting Clothing")</f>
        <v>Quest: A Path to Paradise
Recipe: Crafting Comforting Clothing</v>
      </c>
      <c r="I106" s="42" t="str">
        <f>IFERROR(__xludf.DUMMYFUNCTION("""COMPUTED_VALUE"""),"Faerie Fluff: 1
Fresh Water: 1
Purple Eye: 1")</f>
        <v>Faerie Fluff: 1
Fresh Water: 1
Purple Eye: 1</v>
      </c>
    </row>
    <row r="107">
      <c r="A107" s="65" t="str">
        <f>IFERROR(__xludf.DUMMYFUNCTION("""COMPUTED_VALUE"""),"Magic Vestment")</f>
        <v>Magic Vestment</v>
      </c>
      <c r="B107" s="31" t="str">
        <f>IFERROR(__xludf.DUMMYFUNCTION("""COMPUTED_VALUE"""),"Defence
Magic Might
Magic Mend")</f>
        <v>Defence
Magic Might
Magic Mend</v>
      </c>
      <c r="C107" s="31" t="str">
        <f>IFERROR(__xludf.DUMMYFUNCTION("""COMPUTED_VALUE"""),"39
15
15")</f>
        <v>39
15
15</v>
      </c>
      <c r="D107" s="31" t="str">
        <f>IFERROR(__xludf.DUMMYFUNCTION("""COMPUTED_VALUE"""),"41
16
16")</f>
        <v>41
16
16</v>
      </c>
      <c r="E107" s="31" t="str">
        <f>IFERROR(__xludf.DUMMYFUNCTION("""COMPUTED_VALUE"""),"43
17
17")</f>
        <v>43
17
17</v>
      </c>
      <c r="F107" s="31" t="str">
        <f>IFERROR(__xludf.DUMMYFUNCTION("""COMPUTED_VALUE"""),"45
19
19")</f>
        <v>45
19
19</v>
      </c>
      <c r="G107" s="31" t="str">
        <f>IFERROR(__xludf.DUMMYFUNCTION("""COMPUTED_VALUE"""),"Elemental Damage Reduction (18%)")</f>
        <v>Elemental Damage Reduction (18%)</v>
      </c>
      <c r="H107" s="41" t="str">
        <f>IFERROR(__xludf.DUMMYFUNCTION("""COMPUTED_VALUE"""),"Sniflheim: 4400
Recipe: That's Magic
Common: Leger-De-Man")</f>
        <v>Sniflheim: 4400
Recipe: That's Magic
Common: Leger-De-Man</v>
      </c>
      <c r="I107" s="41" t="str">
        <f>IFERROR(__xludf.DUMMYFUNCTION("""COMPUTED_VALUE"""),"Water Sedge: 3
Royal Soil: 3
Purple Eye: 1")</f>
        <v>Water Sedge: 3
Royal Soil: 3
Purple Eye: 1</v>
      </c>
    </row>
    <row r="108">
      <c r="A108" s="54" t="str">
        <f>IFERROR(__xludf.DUMMYFUNCTION("""COMPUTED_VALUE"""),"Glombolero")</f>
        <v>Glombolero</v>
      </c>
      <c r="B108" s="30" t="str">
        <f>IFERROR(__xludf.DUMMYFUNCTION("""COMPUTED_VALUE"""),"Defence
Magic Might")</f>
        <v>Defence
Magic Might</v>
      </c>
      <c r="C108" s="30" t="str">
        <f>IFERROR(__xludf.DUMMYFUNCTION("""COMPUTED_VALUE"""),"40
17")</f>
        <v>40
17</v>
      </c>
      <c r="D108" s="30" t="str">
        <f>IFERROR(__xludf.DUMMYFUNCTION("""COMPUTED_VALUE"""),"42
18")</f>
        <v>42
18</v>
      </c>
      <c r="E108" s="30" t="str">
        <f>IFERROR(__xludf.DUMMYFUNCTION("""COMPUTED_VALUE"""),"44
19")</f>
        <v>44
19</v>
      </c>
      <c r="F108" s="30" t="str">
        <f>IFERROR(__xludf.DUMMYFUNCTION("""COMPUTED_VALUE"""),"46
21")</f>
        <v>46
21</v>
      </c>
      <c r="G108" s="30" t="str">
        <f>IFERROR(__xludf.DUMMYFUNCTION("""COMPUTED_VALUE"""),"Chance of Absorbing MP (20%)")</f>
        <v>Chance of Absorbing MP (20%)</v>
      </c>
      <c r="H108" s="42" t="str">
        <f>IFERROR(__xludf.DUMMYFUNCTION("""COMPUTED_VALUE"""),"Mini Medal Stamp: 50")</f>
        <v>Mini Medal Stamp: 50</v>
      </c>
      <c r="I108" s="42"/>
    </row>
    <row r="109">
      <c r="A109" s="53" t="str">
        <f>IFERROR(__xludf.DUMMYFUNCTION("""COMPUTED_VALUE"""),"Witch's Robe")</f>
        <v>Witch's Robe</v>
      </c>
      <c r="B109" s="31" t="str">
        <f>IFERROR(__xludf.DUMMYFUNCTION("""COMPUTED_VALUE"""),"Defence
Magic Might")</f>
        <v>Defence
Magic Might</v>
      </c>
      <c r="C109" s="31" t="str">
        <f>IFERROR(__xludf.DUMMYFUNCTION("""COMPUTED_VALUE"""),"43
18")</f>
        <v>43
18</v>
      </c>
      <c r="D109" s="31" t="str">
        <f>IFERROR(__xludf.DUMMYFUNCTION("""COMPUTED_VALUE"""),"45
19")</f>
        <v>45
19</v>
      </c>
      <c r="E109" s="31" t="str">
        <f>IFERROR(__xludf.DUMMYFUNCTION("""COMPUTED_VALUE"""),"47
20")</f>
        <v>47
20</v>
      </c>
      <c r="F109" s="31" t="str">
        <f>IFERROR(__xludf.DUMMYFUNCTION("""COMPUTED_VALUE"""),"50
22")</f>
        <v>50
22</v>
      </c>
      <c r="G109" s="31" t="str">
        <f>IFERROR(__xludf.DUMMYFUNCTION("""COMPUTED_VALUE"""),"Spell-Sealing Protection (40%)")</f>
        <v>Spell-Sealing Protection (40%)</v>
      </c>
      <c r="H109" s="41" t="str">
        <f>IFERROR(__xludf.DUMMYFUNCTION("""COMPUTED_VALUE"""),"Recipe: Favourite Fashions of the Masters of Magic")</f>
        <v>Recipe: Favourite Fashions of the Masters of Magic</v>
      </c>
      <c r="I109" s="41" t="str">
        <f>IFERROR(__xludf.DUMMYFUNCTION("""COMPUTED_VALUE"""),"Narspicious: 2
Wing of Bat: 2
Belle Cap: 2")</f>
        <v>Narspicious: 2
Wing of Bat: 2
Belle Cap: 2</v>
      </c>
    </row>
    <row r="110">
      <c r="A110" s="54" t="str">
        <f>IFERROR(__xludf.DUMMYFUNCTION("""COMPUTED_VALUE"""),"Wizard's Robe")</f>
        <v>Wizard's Robe</v>
      </c>
      <c r="B110" s="30" t="str">
        <f>IFERROR(__xludf.DUMMYFUNCTION("""COMPUTED_VALUE"""),"Defence
Magic Might")</f>
        <v>Defence
Magic Might</v>
      </c>
      <c r="C110" s="30" t="str">
        <f>IFERROR(__xludf.DUMMYFUNCTION("""COMPUTED_VALUE"""),"43
18")</f>
        <v>43
18</v>
      </c>
      <c r="D110" s="30" t="str">
        <f>IFERROR(__xludf.DUMMYFUNCTION("""COMPUTED_VALUE"""),"45
19")</f>
        <v>45
19</v>
      </c>
      <c r="E110" s="30" t="str">
        <f>IFERROR(__xludf.DUMMYFUNCTION("""COMPUTED_VALUE"""),"47
20")</f>
        <v>47
20</v>
      </c>
      <c r="F110" s="30" t="str">
        <f>IFERROR(__xludf.DUMMYFUNCTION("""COMPUTED_VALUE"""),"50
22")</f>
        <v>50
22</v>
      </c>
      <c r="G110" s="30" t="str">
        <f>IFERROR(__xludf.DUMMYFUNCTION("""COMPUTED_VALUE"""),"Spell-Sealing Protection (40%)")</f>
        <v>Spell-Sealing Protection (40%)</v>
      </c>
      <c r="H110" s="42" t="str">
        <f>IFERROR(__xludf.DUMMYFUNCTION("""COMPUTED_VALUE"""),"Puerto Valor, Lonalulu, Phnom Nonh, Angri-La: 7200
Recipe: Favourite Fashions of the Masters of Magic")</f>
        <v>Puerto Valor, Lonalulu, Phnom Nonh, Angri-La: 7200
Recipe: Favourite Fashions of the Masters of Magic</v>
      </c>
      <c r="I110" s="42" t="str">
        <f>IFERROR(__xludf.DUMMYFUNCTION("""COMPUTED_VALUE"""),"Narspicious: 2
Wing of Bat: 2
Green Eye: 2")</f>
        <v>Narspicious: 2
Wing of Bat: 2
Green Eye: 2</v>
      </c>
    </row>
    <row r="111">
      <c r="A111" s="53" t="str">
        <f>IFERROR(__xludf.DUMMYFUNCTION("""COMPUTED_VALUE"""),"Prince's Pea Coat")</f>
        <v>Prince's Pea Coat</v>
      </c>
      <c r="B111" s="31" t="str">
        <f>IFERROR(__xludf.DUMMYFUNCTION("""COMPUTED_VALUE"""),"Defence
Magic Might
Magic Mend
Charm")</f>
        <v>Defence
Magic Might
Magic Mend
Charm</v>
      </c>
      <c r="C111" s="31" t="str">
        <f>IFERROR(__xludf.DUMMYFUNCTION("""COMPUTED_VALUE"""),"44
19
19
35")</f>
        <v>44
19
19
35</v>
      </c>
      <c r="D111" s="31" t="str">
        <f>IFERROR(__xludf.DUMMYFUNCTION("""COMPUTED_VALUE"""),"46
20
20
37")</f>
        <v>46
20
20
37</v>
      </c>
      <c r="E111" s="31" t="str">
        <f>IFERROR(__xludf.DUMMYFUNCTION("""COMPUTED_VALUE"""),"48
21
21
39")</f>
        <v>48
21
21
39</v>
      </c>
      <c r="F111" s="31" t="str">
        <f>IFERROR(__xludf.DUMMYFUNCTION("""COMPUTED_VALUE"""),"51
23
23
41")</f>
        <v>51
23
23
41</v>
      </c>
      <c r="G111" s="31" t="str">
        <f>IFERROR(__xludf.DUMMYFUNCTION("""COMPUTED_VALUE"""),"Elemental Damage Reduction (15%)")</f>
        <v>Elemental Damage Reduction (15%)</v>
      </c>
      <c r="H111" s="41" t="str">
        <f>IFERROR(__xludf.DUMMYFUNCTION("""COMPUTED_VALUE"""),"Recipe: Classy Clobber for Kingly Kids")</f>
        <v>Recipe: Classy Clobber for Kingly Kids</v>
      </c>
      <c r="I111" s="41" t="str">
        <f>IFERROR(__xludf.DUMMYFUNCTION("""COMPUTED_VALUE"""),"Silkblossom: 3
Enchanted Stone: 1
Blue Eye: 1")</f>
        <v>Silkblossom: 3
Enchanted Stone: 1
Blue Eye: 1</v>
      </c>
    </row>
    <row r="112">
      <c r="A112" s="54" t="str">
        <f>IFERROR(__xludf.DUMMYFUNCTION("""COMPUTED_VALUE"""),"Princess's Robe")</f>
        <v>Princess's Robe</v>
      </c>
      <c r="B112" s="30" t="str">
        <f>IFERROR(__xludf.DUMMYFUNCTION("""COMPUTED_VALUE"""),"Defence
Magic Might
Magic Mend
Charm")</f>
        <v>Defence
Magic Might
Magic Mend
Charm</v>
      </c>
      <c r="C112" s="30" t="str">
        <f>IFERROR(__xludf.DUMMYFUNCTION("""COMPUTED_VALUE"""),"44
19
19
35")</f>
        <v>44
19
19
35</v>
      </c>
      <c r="D112" s="30" t="str">
        <f>IFERROR(__xludf.DUMMYFUNCTION("""COMPUTED_VALUE"""),"46
20
20
37")</f>
        <v>46
20
20
37</v>
      </c>
      <c r="E112" s="30" t="str">
        <f>IFERROR(__xludf.DUMMYFUNCTION("""COMPUTED_VALUE"""),"48
21
21
39")</f>
        <v>48
21
21
39</v>
      </c>
      <c r="F112" s="30" t="str">
        <f>IFERROR(__xludf.DUMMYFUNCTION("""COMPUTED_VALUE"""),"51
23
23
41")</f>
        <v>51
23
23
41</v>
      </c>
      <c r="G112" s="30" t="str">
        <f>IFERROR(__xludf.DUMMYFUNCTION("""COMPUTED_VALUE"""),"Elemental Damage Reduction (15%)")</f>
        <v>Elemental Damage Reduction (15%)</v>
      </c>
      <c r="H112" s="42" t="str">
        <f>IFERROR(__xludf.DUMMYFUNCTION("""COMPUTED_VALUE"""),"Recipe: Classy Clobber for Kingly Kids")</f>
        <v>Recipe: Classy Clobber for Kingly Kids</v>
      </c>
      <c r="I112" s="42" t="str">
        <f>IFERROR(__xludf.DUMMYFUNCTION("""COMPUTED_VALUE"""),"Silkblossom: 3
Enchanted Stone: 1
Red Eye: 1")</f>
        <v>Silkblossom: 3
Enchanted Stone: 1
Red Eye: 1</v>
      </c>
    </row>
    <row r="113">
      <c r="A113" s="53" t="str">
        <f>IFERROR(__xludf.DUMMYFUNCTION("""COMPUTED_VALUE"""),"King's Coat")</f>
        <v>King's Coat</v>
      </c>
      <c r="B113" s="31" t="str">
        <f>IFERROR(__xludf.DUMMYFUNCTION("""COMPUTED_VALUE"""),"Defence
Magic Might
Magic Mend
Charm")</f>
        <v>Defence
Magic Might
Magic Mend
Charm</v>
      </c>
      <c r="C113" s="31" t="str">
        <f>IFERROR(__xludf.DUMMYFUNCTION("""COMPUTED_VALUE"""),"53
24
24
44")</f>
        <v>53
24
24
44</v>
      </c>
      <c r="D113" s="31" t="str">
        <f>IFERROR(__xludf.DUMMYFUNCTION("""COMPUTED_VALUE"""),"55
25
25
46")</f>
        <v>55
25
25
46</v>
      </c>
      <c r="E113" s="31" t="str">
        <f>IFERROR(__xludf.DUMMYFUNCTION("""COMPUTED_VALUE"""),"57
27
27
48")</f>
        <v>57
27
27
48</v>
      </c>
      <c r="F113" s="31" t="str">
        <f>IFERROR(__xludf.DUMMYFUNCTION("""COMPUTED_VALUE"""),"60
29
29
51")</f>
        <v>60
29
29
51</v>
      </c>
      <c r="G113" s="31" t="str">
        <f>IFERROR(__xludf.DUMMYFUNCTION("""COMPUTED_VALUE"""),"Elemental Damage Reduction (18%)")</f>
        <v>Elemental Damage Reduction (18%)</v>
      </c>
      <c r="H113" s="41" t="str">
        <f>IFERROR(__xludf.DUMMYFUNCTION("""COMPUTED_VALUE"""),"Gallopolis Region, Gallopolis: 14000
Recipe: A Recipe Book of Regal Regalia")</f>
        <v>Gallopolis Region, Gallopolis: 14000
Recipe: A Recipe Book of Regal Regalia</v>
      </c>
      <c r="I113" s="41" t="str">
        <f>IFERROR(__xludf.DUMMYFUNCTION("""COMPUTED_VALUE"""),"Silkblossom: 3
Ethereal Stone: 1
Savvy Sapphire: 1")</f>
        <v>Silkblossom: 3
Ethereal Stone: 1
Savvy Sapphire: 1</v>
      </c>
    </row>
    <row r="114">
      <c r="A114" s="54" t="str">
        <f>IFERROR(__xludf.DUMMYFUNCTION("""COMPUTED_VALUE"""),"Queen's Robe")</f>
        <v>Queen's Robe</v>
      </c>
      <c r="B114" s="30" t="str">
        <f>IFERROR(__xludf.DUMMYFUNCTION("""COMPUTED_VALUE"""),"Defence
Magic Might
Magic Mend
Charm")</f>
        <v>Defence
Magic Might
Magic Mend
Charm</v>
      </c>
      <c r="C114" s="30" t="str">
        <f>IFERROR(__xludf.DUMMYFUNCTION("""COMPUTED_VALUE"""),"53
24
24
44")</f>
        <v>53
24
24
44</v>
      </c>
      <c r="D114" s="30" t="str">
        <f>IFERROR(__xludf.DUMMYFUNCTION("""COMPUTED_VALUE"""),"55
25
25
46")</f>
        <v>55
25
25
46</v>
      </c>
      <c r="E114" s="30" t="str">
        <f>IFERROR(__xludf.DUMMYFUNCTION("""COMPUTED_VALUE"""),"57
27
27
48")</f>
        <v>57
27
27
48</v>
      </c>
      <c r="F114" s="30" t="str">
        <f>IFERROR(__xludf.DUMMYFUNCTION("""COMPUTED_VALUE"""),"60
29
29
51")</f>
        <v>60
29
29
51</v>
      </c>
      <c r="G114" s="30" t="str">
        <f>IFERROR(__xludf.DUMMYFUNCTION("""COMPUTED_VALUE"""),"Elemental Damage Reduction (18%)")</f>
        <v>Elemental Damage Reduction (18%)</v>
      </c>
      <c r="H114" s="42" t="str">
        <f>IFERROR(__xludf.DUMMYFUNCTION("""COMPUTED_VALUE"""),"Gallopolis Region, Gallopolis, Arboria: 14000
Recipe: A Recipe Book of Regal Regalia")</f>
        <v>Gallopolis Region, Gallopolis, Arboria: 14000
Recipe: A Recipe Book of Regal Regalia</v>
      </c>
      <c r="I114" s="42" t="str">
        <f>IFERROR(__xludf.DUMMYFUNCTION("""COMPUTED_VALUE"""),"Silkblossom: 3
Ethereal Stone: 1
Royal Ruby: 1")</f>
        <v>Silkblossom: 3
Ethereal Stone: 1
Royal Ruby: 1</v>
      </c>
    </row>
    <row r="115">
      <c r="A115" s="53" t="str">
        <f>IFERROR(__xludf.DUMMYFUNCTION("""COMPUTED_VALUE"""),"Sage's Robe")</f>
        <v>Sage's Robe</v>
      </c>
      <c r="B115" s="31" t="str">
        <f>IFERROR(__xludf.DUMMYFUNCTION("""COMPUTED_VALUE"""),"Defence
Magic Might
Magic Mend")</f>
        <v>Defence
Magic Might
Magic Mend</v>
      </c>
      <c r="C115" s="31" t="str">
        <f>IFERROR(__xludf.DUMMYFUNCTION("""COMPUTED_VALUE"""),"55
26
26")</f>
        <v>55
26
26</v>
      </c>
      <c r="D115" s="31" t="str">
        <f>IFERROR(__xludf.DUMMYFUNCTION("""COMPUTED_VALUE"""),"57
27
27")</f>
        <v>57
27
27</v>
      </c>
      <c r="E115" s="31" t="str">
        <f>IFERROR(__xludf.DUMMYFUNCTION("""COMPUTED_VALUE"""),"59
28
28")</f>
        <v>59
28
28</v>
      </c>
      <c r="F115" s="31" t="str">
        <f>IFERROR(__xludf.DUMMYFUNCTION("""COMPUTED_VALUE"""),"62
30
30")</f>
        <v>62
30
30</v>
      </c>
      <c r="G115" s="31" t="str">
        <f>IFERROR(__xludf.DUMMYFUNCTION("""COMPUTED_VALUE"""),"Elemental Damage Reduction (15%)")</f>
        <v>Elemental Damage Reduction (15%)</v>
      </c>
      <c r="H115" s="41" t="str">
        <f>IFERROR(__xludf.DUMMYFUNCTION("""COMPUTED_VALUE"""),"Wheel of Harma - First Trial (8 Moves)")</f>
        <v>Wheel of Harma - First Trial (8 Moves)</v>
      </c>
      <c r="I115" s="41"/>
    </row>
    <row r="116">
      <c r="A116" s="54" t="str">
        <f>IFERROR(__xludf.DUMMYFUNCTION("""COMPUTED_VALUE"""),"Flowing Dress")</f>
        <v>Flowing Dress</v>
      </c>
      <c r="B116" s="30" t="str">
        <f>IFERROR(__xludf.DUMMYFUNCTION("""COMPUTED_VALUE"""),"Defence
Magic Might
Magic Mend")</f>
        <v>Defence
Magic Might
Magic Mend</v>
      </c>
      <c r="C116" s="30" t="str">
        <f>IFERROR(__xludf.DUMMYFUNCTION("""COMPUTED_VALUE"""),"59
28
28")</f>
        <v>59
28
28</v>
      </c>
      <c r="D116" s="30" t="str">
        <f>IFERROR(__xludf.DUMMYFUNCTION("""COMPUTED_VALUE"""),"61
29
29")</f>
        <v>61
29
29</v>
      </c>
      <c r="E116" s="30" t="str">
        <f>IFERROR(__xludf.DUMMYFUNCTION("""COMPUTED_VALUE"""),"63
30
30")</f>
        <v>63
30
30</v>
      </c>
      <c r="F116" s="30" t="str">
        <f>IFERROR(__xludf.DUMMYFUNCTION("""COMPUTED_VALUE"""),"65
32
32")</f>
        <v>65
32
32</v>
      </c>
      <c r="G116" s="30" t="str">
        <f>IFERROR(__xludf.DUMMYFUNCTION("""COMPUTED_VALUE"""),"Fire Damage Reduction (25%)
Ice Damage Reduction (25%)")</f>
        <v>Fire Damage Reduction (25%)
Ice Damage Reduction (25%)</v>
      </c>
      <c r="H116" s="42" t="str">
        <f>IFERROR(__xludf.DUMMYFUNCTION("""COMPUTED_VALUE"""),"Gondolia, Nautica, Sniflheim, Arboria: 14800")</f>
        <v>Gondolia, Nautica, Sniflheim, Arboria: 14800</v>
      </c>
      <c r="I116" s="42"/>
    </row>
    <row r="117">
      <c r="A117" s="53" t="str">
        <f>IFERROR(__xludf.DUMMYFUNCTION("""COMPUTED_VALUE"""),"Emperor's Attire")</f>
        <v>Emperor's Attire</v>
      </c>
      <c r="B117" s="31" t="str">
        <f>IFERROR(__xludf.DUMMYFUNCTION("""COMPUTED_VALUE"""),"Defence
Magic Might
Magic Mend
Charm")</f>
        <v>Defence
Magic Might
Magic Mend
Charm</v>
      </c>
      <c r="C117" s="31" t="str">
        <f>IFERROR(__xludf.DUMMYFUNCTION("""COMPUTED_VALUE"""),"61
29
29
52")</f>
        <v>61
29
29
52</v>
      </c>
      <c r="D117" s="31" t="str">
        <f>IFERROR(__xludf.DUMMYFUNCTION("""COMPUTED_VALUE"""),"63
30
30
54")</f>
        <v>63
30
30
54</v>
      </c>
      <c r="E117" s="31" t="str">
        <f>IFERROR(__xludf.DUMMYFUNCTION("""COMPUTED_VALUE"""),"65
31
31
56")</f>
        <v>65
31
31
56</v>
      </c>
      <c r="F117" s="31" t="str">
        <f>IFERROR(__xludf.DUMMYFUNCTION("""COMPUTED_VALUE"""),"68
33
33
59")</f>
        <v>68
33
33
59</v>
      </c>
      <c r="G117" s="31" t="str">
        <f>IFERROR(__xludf.DUMMYFUNCTION("""COMPUTED_VALUE"""),"Elemental Damage Reduction (20%)")</f>
        <v>Elemental Damage Reduction (20%)</v>
      </c>
      <c r="H117" s="41" t="str">
        <f>IFERROR(__xludf.DUMMYFUNCTION("""COMPUTED_VALUE"""),"Recipe: An Album of Imperial Attire")</f>
        <v>Recipe: An Album of Imperial Attire</v>
      </c>
      <c r="I117" s="41" t="str">
        <f>IFERROR(__xludf.DUMMYFUNCTION("""COMPUTED_VALUE"""),"Silkblossom: 3
Ethereal Stone: 2
Savvy Sapphire: 2
Colourful Cocoon: 2")</f>
        <v>Silkblossom: 3
Ethereal Stone: 2
Savvy Sapphire: 2
Colourful Cocoon: 2</v>
      </c>
    </row>
    <row r="118">
      <c r="A118" s="54" t="str">
        <f>IFERROR(__xludf.DUMMYFUNCTION("""COMPUTED_VALUE"""),"Empress's Robe")</f>
        <v>Empress's Robe</v>
      </c>
      <c r="B118" s="30" t="str">
        <f>IFERROR(__xludf.DUMMYFUNCTION("""COMPUTED_VALUE"""),"Defence
Magic Might
Magic Mend
Charm")</f>
        <v>Defence
Magic Might
Magic Mend
Charm</v>
      </c>
      <c r="C118" s="30" t="str">
        <f>IFERROR(__xludf.DUMMYFUNCTION("""COMPUTED_VALUE"""),"61
29
29
52")</f>
        <v>61
29
29
52</v>
      </c>
      <c r="D118" s="30" t="str">
        <f>IFERROR(__xludf.DUMMYFUNCTION("""COMPUTED_VALUE"""),"63
30
30
54")</f>
        <v>63
30
30
54</v>
      </c>
      <c r="E118" s="30" t="str">
        <f>IFERROR(__xludf.DUMMYFUNCTION("""COMPUTED_VALUE"""),"65
31
31
56")</f>
        <v>65
31
31
56</v>
      </c>
      <c r="F118" s="30" t="str">
        <f>IFERROR(__xludf.DUMMYFUNCTION("""COMPUTED_VALUE"""),"68
33
33
59")</f>
        <v>68
33
33
59</v>
      </c>
      <c r="G118" s="30" t="str">
        <f>IFERROR(__xludf.DUMMYFUNCTION("""COMPUTED_VALUE"""),"Elemental Damage Reduction (20%)")</f>
        <v>Elemental Damage Reduction (20%)</v>
      </c>
      <c r="H118" s="42" t="str">
        <f>IFERROR(__xludf.DUMMYFUNCTION("""COMPUTED_VALUE"""),"Recipe: An Album of Imperial Attire")</f>
        <v>Recipe: An Album of Imperial Attire</v>
      </c>
      <c r="I118" s="42" t="str">
        <f>IFERROR(__xludf.DUMMYFUNCTION("""COMPUTED_VALUE"""),"Silkblossom: 3
Ethereal Stone: 2
Royal Ruby: 2
Colourful Cocoon: 2")</f>
        <v>Silkblossom: 3
Ethereal Stone: 2
Royal Ruby: 2
Colourful Cocoon: 2</v>
      </c>
    </row>
    <row r="119">
      <c r="A119" s="53" t="str">
        <f>IFERROR(__xludf.DUMMYFUNCTION("""COMPUTED_VALUE"""),"Angel's Robe")</f>
        <v>Angel's Robe</v>
      </c>
      <c r="B119" s="31" t="str">
        <f>IFERROR(__xludf.DUMMYFUNCTION("""COMPUTED_VALUE"""),"Defence
Magic Might
Magic Mend")</f>
        <v>Defence
Magic Might
Magic Mend</v>
      </c>
      <c r="C119" s="31" t="str">
        <f>IFERROR(__xludf.DUMMYFUNCTION("""COMPUTED_VALUE"""),"71
28
36")</f>
        <v>71
28
36</v>
      </c>
      <c r="D119" s="31" t="str">
        <f>IFERROR(__xludf.DUMMYFUNCTION("""COMPUTED_VALUE"""),"75
29
37")</f>
        <v>75
29
37</v>
      </c>
      <c r="E119" s="31" t="str">
        <f>IFERROR(__xludf.DUMMYFUNCTION("""COMPUTED_VALUE"""),"80
30
38")</f>
        <v>80
30
38</v>
      </c>
      <c r="F119" s="31" t="str">
        <f>IFERROR(__xludf.DUMMYFUNCTION("""COMPUTED_VALUE"""),"85
31
39")</f>
        <v>85
31
39</v>
      </c>
      <c r="G119" s="31" t="str">
        <f>IFERROR(__xludf.DUMMYFUNCTION("""COMPUTED_VALUE"""),"Elemental Damage Reduction (18%)
Insta-Death Protection (50%)")</f>
        <v>Elemental Damage Reduction (18%)
Insta-Death Protection (50%)</v>
      </c>
      <c r="H119" s="41" t="str">
        <f>IFERROR(__xludf.DUMMYFUNCTION("""COMPUTED_VALUE"""),"Havens Above, Trial Isle: 46000")</f>
        <v>Havens Above, Trial Isle: 46000</v>
      </c>
      <c r="I119" s="41"/>
    </row>
    <row r="120">
      <c r="A120" s="54" t="str">
        <f>IFERROR(__xludf.DUMMYFUNCTION("""COMPUTED_VALUE"""),"Crimson Robe")</f>
        <v>Crimson Robe</v>
      </c>
      <c r="B120" s="30" t="str">
        <f>IFERROR(__xludf.DUMMYFUNCTION("""COMPUTED_VALUE"""),"Defence
Magic Might
Magic Mend")</f>
        <v>Defence
Magic Might
Magic Mend</v>
      </c>
      <c r="C120" s="30" t="str">
        <f>IFERROR(__xludf.DUMMYFUNCTION("""COMPUTED_VALUE"""),"73
35
29")</f>
        <v>73
35
29</v>
      </c>
      <c r="D120" s="30" t="str">
        <f>IFERROR(__xludf.DUMMYFUNCTION("""COMPUTED_VALUE"""),"77
36
30")</f>
        <v>77
36
30</v>
      </c>
      <c r="E120" s="30" t="str">
        <f>IFERROR(__xludf.DUMMYFUNCTION("""COMPUTED_VALUE"""),"82
37
30")</f>
        <v>82
37
30</v>
      </c>
      <c r="F120" s="30" t="str">
        <f>IFERROR(__xludf.DUMMYFUNCTION("""COMPUTED_VALUE"""),"87
39
31")</f>
        <v>87
39
31</v>
      </c>
      <c r="G120" s="30" t="str">
        <f>IFERROR(__xludf.DUMMYFUNCTION("""COMPUTED_VALUE"""),"Ice Damage Reduction (20%)")</f>
        <v>Ice Damage Reduction (20%)</v>
      </c>
      <c r="H120" s="42" t="str">
        <f>IFERROR(__xludf.DUMMYFUNCTION("""COMPUTED_VALUE"""),"Recipe: Sizzling Styles
Rare: Abracadabrer")</f>
        <v>Recipe: Sizzling Styles
Rare: Abracadabrer</v>
      </c>
      <c r="I120" s="42" t="str">
        <f>IFERROR(__xludf.DUMMYFUNCTION("""COMPUTED_VALUE"""),"Lava Lump: 3
Fire Wood: 3
Magic Water: 2
Royal Ruby: 1")</f>
        <v>Lava Lump: 3
Fire Wood: 3
Magic Water: 2
Royal Ruby: 1</v>
      </c>
    </row>
    <row r="121">
      <c r="A121" s="53" t="str">
        <f>IFERROR(__xludf.DUMMYFUNCTION("""COMPUTED_VALUE"""),"Dragon Robe")</f>
        <v>Dragon Robe</v>
      </c>
      <c r="B121" s="31" t="str">
        <f>IFERROR(__xludf.DUMMYFUNCTION("""COMPUTED_VALUE"""),"Defence
Magic Might")</f>
        <v>Defence
Magic Might</v>
      </c>
      <c r="C121" s="31" t="str">
        <f>IFERROR(__xludf.DUMMYFUNCTION("""COMPUTED_VALUE"""),"88
39")</f>
        <v>88
39</v>
      </c>
      <c r="D121" s="31" t="str">
        <f>IFERROR(__xludf.DUMMYFUNCTION("""COMPUTED_VALUE"""),"93
40")</f>
        <v>93
40</v>
      </c>
      <c r="E121" s="31" t="str">
        <f>IFERROR(__xludf.DUMMYFUNCTION("""COMPUTED_VALUE"""),"98
41")</f>
        <v>98
41</v>
      </c>
      <c r="F121" s="31" t="str">
        <f>IFERROR(__xludf.DUMMYFUNCTION("""COMPUTED_VALUE"""),"104
43")</f>
        <v>104
43</v>
      </c>
      <c r="G121" s="31" t="str">
        <f>IFERROR(__xludf.DUMMYFUNCTION("""COMPUTED_VALUE"""),"Elemental Damage Reduction (15%)")</f>
        <v>Elemental Damage Reduction (15%)</v>
      </c>
      <c r="H121" s="41" t="str">
        <f>IFERROR(__xludf.DUMMYFUNCTION("""COMPUTED_VALUE"""),"Rare: Kleptoreptile")</f>
        <v>Rare: Kleptoreptile</v>
      </c>
      <c r="I121" s="41"/>
    </row>
    <row r="122">
      <c r="A122" s="54" t="str">
        <f>IFERROR(__xludf.DUMMYFUNCTION("""COMPUTED_VALUE"""),"Dark Robe")</f>
        <v>Dark Robe</v>
      </c>
      <c r="B122" s="30" t="str">
        <f>IFERROR(__xludf.DUMMYFUNCTION("""COMPUTED_VALUE"""),"Defence
Evasion %")</f>
        <v>Defence
Evasion %</v>
      </c>
      <c r="C122" s="30" t="str">
        <f>IFERROR(__xludf.DUMMYFUNCTION("""COMPUTED_VALUE"""),"80
4")</f>
        <v>80
4</v>
      </c>
      <c r="D122" s="30" t="str">
        <f>IFERROR(__xludf.DUMMYFUNCTION("""COMPUTED_VALUE"""),"84
4")</f>
        <v>84
4</v>
      </c>
      <c r="E122" s="30" t="str">
        <f>IFERROR(__xludf.DUMMYFUNCTION("""COMPUTED_VALUE"""),"88
4")</f>
        <v>88
4</v>
      </c>
      <c r="F122" s="30" t="str">
        <f>IFERROR(__xludf.DUMMYFUNCTION("""COMPUTED_VALUE"""),"93
4")</f>
        <v>93
4</v>
      </c>
      <c r="G122" s="30" t="str">
        <f>IFERROR(__xludf.DUMMYFUNCTION("""COMPUTED_VALUE"""),"--")</f>
        <v>--</v>
      </c>
      <c r="H122" s="42" t="str">
        <f>IFERROR(__xludf.DUMMYFUNCTION("""COMPUTED_VALUE"""),"Recipe: The Fandom of the Opera")</f>
        <v>Recipe: The Fandom of the Opera</v>
      </c>
      <c r="I122" s="42" t="str">
        <f>IFERROR(__xludf.DUMMYFUNCTION("""COMPUTED_VALUE"""),"Faerie Fluff: 3
Lambswool: 3
Evencloth: 3
Slipweed: 3
Black Tear: 1")</f>
        <v>Faerie Fluff: 3
Lambswool: 3
Evencloth: 3
Slipweed: 3
Black Tear: 1</v>
      </c>
    </row>
    <row r="123">
      <c r="A123" s="53" t="str">
        <f>IFERROR(__xludf.DUMMYFUNCTION("""COMPUTED_VALUE"""),"Seraph's Robe")</f>
        <v>Seraph's Robe</v>
      </c>
      <c r="B123" s="31" t="str">
        <f>IFERROR(__xludf.DUMMYFUNCTION("""COMPUTED_VALUE"""),"Defence
Magic Might
Magic Mend")</f>
        <v>Defence
Magic Might
Magic Mend</v>
      </c>
      <c r="C123" s="31" t="str">
        <f>IFERROR(__xludf.DUMMYFUNCTION("""COMPUTED_VALUE"""),"105
44
44")</f>
        <v>105
44
44</v>
      </c>
      <c r="D123" s="31" t="str">
        <f>IFERROR(__xludf.DUMMYFUNCTION("""COMPUTED_VALUE"""),"110
45
45")</f>
        <v>110
45
45</v>
      </c>
      <c r="E123" s="31" t="str">
        <f>IFERROR(__xludf.DUMMYFUNCTION("""COMPUTED_VALUE"""),"115
46
46")</f>
        <v>115
46
46</v>
      </c>
      <c r="F123" s="31" t="str">
        <f>IFERROR(__xludf.DUMMYFUNCTION("""COMPUTED_VALUE"""),"120
47
47")</f>
        <v>120
47
47</v>
      </c>
      <c r="G123" s="31" t="str">
        <f>IFERROR(__xludf.DUMMYFUNCTION("""COMPUTED_VALUE"""),"Elemental Damage Reduction (18/20/22/25%)
Insta-Death Protection (50%)")</f>
        <v>Elemental Damage Reduction (18/20/22/25%)
Insta-Death Protection (50%)</v>
      </c>
      <c r="H123" s="41" t="str">
        <f>IFERROR(__xludf.DUMMYFUNCTION("""COMPUTED_VALUE"""),"Recipe: Ye Manifold Methods of Mighty Drustan")</f>
        <v>Recipe: Ye Manifold Methods of Mighty Drustan</v>
      </c>
      <c r="I123" s="41" t="str">
        <f>IFERROR(__xludf.DUMMYFUNCTION("""COMPUTED_VALUE"""),"Kaleidocloth: 1
Faerie Fluff: 3
Dieamend: 3
Sunny Citrine: 2
Sainted Soma: 2")</f>
        <v>Kaleidocloth: 1
Faerie Fluff: 3
Dieamend: 3
Sunny Citrine: 2
Sainted Soma: 2</v>
      </c>
    </row>
    <row r="124">
      <c r="A124" s="55" t="str">
        <f>IFERROR(__xludf.DUMMYFUNCTION("""COMPUTED_VALUE"""),"Gown of Eternity")</f>
        <v>Gown of Eternity</v>
      </c>
      <c r="B124" s="30" t="str">
        <f>IFERROR(__xludf.DUMMYFUNCTION("""COMPUTED_VALUE"""),"Defence
Magic Might
Charm")</f>
        <v>Defence
Magic Might
Charm</v>
      </c>
      <c r="C124" s="30" t="str">
        <f>IFERROR(__xludf.DUMMYFUNCTION("""COMPUTED_VALUE"""),"100
43
105")</f>
        <v>100
43
105</v>
      </c>
      <c r="D124" s="30" t="str">
        <f>IFERROR(__xludf.DUMMYFUNCTION("""COMPUTED_VALUE"""),"108
45
111")</f>
        <v>108
45
111</v>
      </c>
      <c r="E124" s="30" t="str">
        <f>IFERROR(__xludf.DUMMYFUNCTION("""COMPUTED_VALUE"""),"116
47
118")</f>
        <v>116
47
118</v>
      </c>
      <c r="F124" s="30" t="str">
        <f>IFERROR(__xludf.DUMMYFUNCTION("""COMPUTED_VALUE"""),"125
50
125")</f>
        <v>125
50
125</v>
      </c>
      <c r="G124" s="30" t="str">
        <f>IFERROR(__xludf.DUMMYFUNCTION("""COMPUTED_VALUE"""),"Critical Spell Chance Increase (1/2/3/4%)")</f>
        <v>Critical Spell Chance Increase (1/2/3/4%)</v>
      </c>
      <c r="H124" s="42" t="str">
        <f>IFERROR(__xludf.DUMMYFUNCTION("""COMPUTED_VALUE"""),"Recipe: Eternal Elegance")</f>
        <v>Recipe: Eternal Elegance</v>
      </c>
      <c r="I124" s="42" t="str">
        <f>IFERROR(__xludf.DUMMYFUNCTION("""COMPUTED_VALUE"""),"Kaleidocloth: 1
Cumulonimbough: 2
Red Wood: 2
Pale Pearl: 3
Chronocrystal: 2")</f>
        <v>Kaleidocloth: 1
Cumulonimbough: 2
Red Wood: 2
Pale Pearl: 3
Chronocrystal: 2</v>
      </c>
    </row>
    <row r="125">
      <c r="A125" s="56" t="str">
        <f>IFERROR(__xludf.DUMMYFUNCTION("""COMPUTED_VALUE"""),"Serenica's Surplice")</f>
        <v>Serenica's Surplice</v>
      </c>
      <c r="B125" s="31" t="str">
        <f>IFERROR(__xludf.DUMMYFUNCTION("""COMPUTED_VALUE"""),"Defence
Magic Mend
Charm")</f>
        <v>Defence
Magic Mend
Charm</v>
      </c>
      <c r="C125" s="31" t="str">
        <f>IFERROR(__xludf.DUMMYFUNCTION("""COMPUTED_VALUE"""),"115
40
105")</f>
        <v>115
40
105</v>
      </c>
      <c r="D125" s="31" t="str">
        <f>IFERROR(__xludf.DUMMYFUNCTION("""COMPUTED_VALUE"""),"120
41
111")</f>
        <v>120
41
111</v>
      </c>
      <c r="E125" s="31" t="str">
        <f>IFERROR(__xludf.DUMMYFUNCTION("""COMPUTED_VALUE"""),"125
43
118")</f>
        <v>125
43
118</v>
      </c>
      <c r="F125" s="31" t="str">
        <f>IFERROR(__xludf.DUMMYFUNCTION("""COMPUTED_VALUE"""),"130
45
125")</f>
        <v>130
45
125</v>
      </c>
      <c r="G125" s="31" t="str">
        <f>IFERROR(__xludf.DUMMYFUNCTION("""COMPUTED_VALUE"""),"Chance of Absorbing MP (20%)
Confusion &amp; Curse Protection (20/30/40/50%)
Beguilement Protection (20/30/40/50%)")</f>
        <v>Chance of Absorbing MP (20%)
Confusion &amp; Curse Protection (20/30/40/50%)
Beguilement Protection (20/30/40/50%)</v>
      </c>
      <c r="H125" s="41" t="str">
        <f>IFERROR(__xludf.DUMMYFUNCTION("""COMPUTED_VALUE"""),"Chest: Luminary's Trial 1F")</f>
        <v>Chest: Luminary's Trial 1F</v>
      </c>
      <c r="I125" s="41"/>
    </row>
  </sheetData>
  <mergeCells count="3">
    <mergeCell ref="A2:I2"/>
    <mergeCell ref="A73:I73"/>
    <mergeCell ref="A104:I10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2.63"/>
    <col customWidth="1" min="3" max="6" width="5.13"/>
    <col customWidth="1" min="7" max="7" width="37.63"/>
    <col customWidth="1" min="8" max="8" width="46.38"/>
    <col customWidth="1" min="9" max="9" width="22.63"/>
  </cols>
  <sheetData>
    <row r="1" ht="15.0" customHeight="1">
      <c r="A1" s="66" t="str">
        <f>IFERROR(__xludf.DUMMYFUNCTION("IMPORTRANGE(""1pGQGO9M_OLNstXbY45t1_zMDCLpiw8pwB7y8fM3IKkA"",""Accessories!A1:I113"")"),"Name")</f>
        <v>Name</v>
      </c>
      <c r="B1" s="50" t="str">
        <f>IFERROR(__xludf.DUMMYFUNCTION("""COMPUTED_VALUE"""),"Stat")</f>
        <v>Stat</v>
      </c>
      <c r="C1" s="50" t="str">
        <f>IFERROR(__xludf.DUMMYFUNCTION("""COMPUTED_VALUE"""),"Base")</f>
        <v>Base</v>
      </c>
      <c r="D1" s="51" t="str">
        <f>IFERROR(__xludf.DUMMYFUNCTION("""COMPUTED_VALUE"""),"+1")</f>
        <v>+1</v>
      </c>
      <c r="E1" s="51" t="str">
        <f>IFERROR(__xludf.DUMMYFUNCTION("""COMPUTED_VALUE"""),"+2")</f>
        <v>+2</v>
      </c>
      <c r="F1" s="51" t="str">
        <f>IFERROR(__xludf.DUMMYFUNCTION("""COMPUTED_VALUE"""),"+3")</f>
        <v>+3</v>
      </c>
      <c r="G1" s="50" t="str">
        <f>IFERROR(__xludf.DUMMYFUNCTION("""COMPUTED_VALUE"""),"Special")</f>
        <v>Special</v>
      </c>
      <c r="H1" s="50" t="str">
        <f>IFERROR(__xludf.DUMMYFUNCTION("""COMPUTED_VALUE"""),"Location (Vicious/Malicious will also drop)")</f>
        <v>Location (Vicious/Malicious will also drop)</v>
      </c>
      <c r="I1" s="50" t="str">
        <f>IFERROR(__xludf.DUMMYFUNCTION("""COMPUTED_VALUE"""),"Forge")</f>
        <v>Forge</v>
      </c>
    </row>
    <row r="2">
      <c r="A2" s="40" t="str">
        <f>IFERROR(__xludf.DUMMYFUNCTION("""COMPUTED_VALUE"""),"Eye and Earwear")</f>
        <v>Eye and Earwear</v>
      </c>
      <c r="B2" s="7"/>
      <c r="C2" s="7"/>
      <c r="D2" s="7"/>
      <c r="E2" s="7"/>
      <c r="F2" s="7"/>
      <c r="G2" s="7"/>
      <c r="H2" s="7"/>
      <c r="I2" s="8"/>
    </row>
    <row r="3">
      <c r="A3" s="41" t="str">
        <f>IFERROR(__xludf.DUMMYFUNCTION("""COMPUTED_VALUE"""),"Slime Earrings")</f>
        <v>Slime Earrings</v>
      </c>
      <c r="B3" s="31" t="str">
        <f>IFERROR(__xludf.DUMMYFUNCTION("""COMPUTED_VALUE"""),"Defence
Charm")</f>
        <v>Defence
Charm</v>
      </c>
      <c r="C3" s="31" t="str">
        <f>IFERROR(__xludf.DUMMYFUNCTION("""COMPUTED_VALUE"""),"2
6")</f>
        <v>2
6</v>
      </c>
      <c r="D3" s="31" t="str">
        <f>IFERROR(__xludf.DUMMYFUNCTION("""COMPUTED_VALUE"""),"3
8")</f>
        <v>3
8</v>
      </c>
      <c r="E3" s="31" t="str">
        <f>IFERROR(__xludf.DUMMYFUNCTION("""COMPUTED_VALUE"""),"4
10")</f>
        <v>4
10</v>
      </c>
      <c r="F3" s="31" t="str">
        <f>IFERROR(__xludf.DUMMYFUNCTION("""COMPUTED_VALUE"""),"5
12")</f>
        <v>5
12</v>
      </c>
      <c r="G3" s="31" t="str">
        <f>IFERROR(__xludf.DUMMYFUNCTION("""COMPUTED_VALUE"""),"--")</f>
        <v>--</v>
      </c>
      <c r="H3" s="41" t="str">
        <f>IFERROR(__xludf.DUMMYFUNCTION("""COMPUTED_VALUE"""),"Hotto: 400
Horse Race: Bronze Cup (Easy)
Rare: Seaslime")</f>
        <v>Hotto: 400
Horse Race: Bronze Cup (Easy)
Rare: Seaslime</v>
      </c>
      <c r="I3" s="41"/>
    </row>
    <row r="4">
      <c r="A4" s="42" t="str">
        <f>IFERROR(__xludf.DUMMYFUNCTION("""COMPUTED_VALUE"""),"Safety Goggles")</f>
        <v>Safety Goggles</v>
      </c>
      <c r="B4" s="30" t="str">
        <f>IFERROR(__xludf.DUMMYFUNCTION("""COMPUTED_VALUE"""),"Defence")</f>
        <v>Defence</v>
      </c>
      <c r="C4" s="30">
        <f>IFERROR(__xludf.DUMMYFUNCTION("""COMPUTED_VALUE"""),3.0)</f>
        <v>3</v>
      </c>
      <c r="D4" s="30">
        <f>IFERROR(__xludf.DUMMYFUNCTION("""COMPUTED_VALUE"""),3.0)</f>
        <v>3</v>
      </c>
      <c r="E4" s="30">
        <f>IFERROR(__xludf.DUMMYFUNCTION("""COMPUTED_VALUE"""),3.0)</f>
        <v>3</v>
      </c>
      <c r="F4" s="30">
        <f>IFERROR(__xludf.DUMMYFUNCTION("""COMPUTED_VALUE"""),3.0)</f>
        <v>3</v>
      </c>
      <c r="G4" s="30" t="str">
        <f>IFERROR(__xludf.DUMMYFUNCTION("""COMPUTED_VALUE"""),"Beguilement Protection (10/15/20/25%)")</f>
        <v>Beguilement Protection (10/15/20/25%)</v>
      </c>
      <c r="H4" s="42" t="str">
        <f>IFERROR(__xludf.DUMMYFUNCTION("""COMPUTED_VALUE"""),"L'Academie: 1500")</f>
        <v>L'Academie: 1500</v>
      </c>
      <c r="I4" s="42"/>
    </row>
    <row r="5">
      <c r="A5" s="41" t="str">
        <f>IFERROR(__xludf.DUMMYFUNCTION("""COMPUTED_VALUE"""),"Asbestos Earrings")</f>
        <v>Asbestos Earrings</v>
      </c>
      <c r="B5" s="31" t="str">
        <f>IFERROR(__xludf.DUMMYFUNCTION("""COMPUTED_VALUE"""),"Defence
Charm")</f>
        <v>Defence
Charm</v>
      </c>
      <c r="C5" s="31" t="str">
        <f>IFERROR(__xludf.DUMMYFUNCTION("""COMPUTED_VALUE"""),"5
10")</f>
        <v>5
10</v>
      </c>
      <c r="D5" s="31" t="str">
        <f>IFERROR(__xludf.DUMMYFUNCTION("""COMPUTED_VALUE"""),"6
11")</f>
        <v>6
11</v>
      </c>
      <c r="E5" s="31" t="str">
        <f>IFERROR(__xludf.DUMMYFUNCTION("""COMPUTED_VALUE"""),"8
13")</f>
        <v>8
13</v>
      </c>
      <c r="F5" s="31" t="str">
        <f>IFERROR(__xludf.DUMMYFUNCTION("""COMPUTED_VALUE"""),"10
15")</f>
        <v>10
15</v>
      </c>
      <c r="G5" s="31" t="str">
        <f>IFERROR(__xludf.DUMMYFUNCTION("""COMPUTED_VALUE"""),"Fire Damage Reduction (10/15/20/25%)")</f>
        <v>Fire Damage Reduction (10/15/20/25%)</v>
      </c>
      <c r="H5" s="41" t="str">
        <f>IFERROR(__xludf.DUMMYFUNCTION("""COMPUTED_VALUE"""),"Recipe: An Anthology of Elemental Earrings")</f>
        <v>Recipe: An Anthology of Elemental Earrings</v>
      </c>
      <c r="I5" s="41" t="str">
        <f>IFERROR(__xludf.DUMMYFUNCTION("""COMPUTED_VALUE"""),"Platinum Ore: 1
Red Eye: 1")</f>
        <v>Platinum Ore: 1
Red Eye: 1</v>
      </c>
    </row>
    <row r="6">
      <c r="A6" s="42" t="str">
        <f>IFERROR(__xludf.DUMMYFUNCTION("""COMPUTED_VALUE"""),"Anti-Freeze Earrings")</f>
        <v>Anti-Freeze Earrings</v>
      </c>
      <c r="B6" s="30" t="str">
        <f>IFERROR(__xludf.DUMMYFUNCTION("""COMPUTED_VALUE"""),"Defence
Charm")</f>
        <v>Defence
Charm</v>
      </c>
      <c r="C6" s="30" t="str">
        <f>IFERROR(__xludf.DUMMYFUNCTION("""COMPUTED_VALUE"""),"5
10")</f>
        <v>5
10</v>
      </c>
      <c r="D6" s="30" t="str">
        <f>IFERROR(__xludf.DUMMYFUNCTION("""COMPUTED_VALUE"""),"6
11")</f>
        <v>6
11</v>
      </c>
      <c r="E6" s="30" t="str">
        <f>IFERROR(__xludf.DUMMYFUNCTION("""COMPUTED_VALUE"""),"8
13")</f>
        <v>8
13</v>
      </c>
      <c r="F6" s="30" t="str">
        <f>IFERROR(__xludf.DUMMYFUNCTION("""COMPUTED_VALUE"""),"10
15")</f>
        <v>10
15</v>
      </c>
      <c r="G6" s="30" t="str">
        <f>IFERROR(__xludf.DUMMYFUNCTION("""COMPUTED_VALUE"""),"Ice Damage Reduction (10/15/20/25%)")</f>
        <v>Ice Damage Reduction (10/15/20/25%)</v>
      </c>
      <c r="H6" s="42" t="str">
        <f>IFERROR(__xludf.DUMMYFUNCTION("""COMPUTED_VALUE"""),"Sniflheim, Snaerfelt: 3000
Recipe: An Anthology of Elemental Earrings")</f>
        <v>Sniflheim, Snaerfelt: 3000
Recipe: An Anthology of Elemental Earrings</v>
      </c>
      <c r="I6" s="42" t="str">
        <f>IFERROR(__xludf.DUMMYFUNCTION("""COMPUTED_VALUE"""),"Platinum Ore: 1
Blue Eye: 1")</f>
        <v>Platinum Ore: 1
Blue Eye: 1</v>
      </c>
    </row>
    <row r="7">
      <c r="A7" s="41" t="str">
        <f>IFERROR(__xludf.DUMMYFUNCTION("""COMPUTED_VALUE"""),"Rubber Earrings")</f>
        <v>Rubber Earrings</v>
      </c>
      <c r="B7" s="31" t="str">
        <f>IFERROR(__xludf.DUMMYFUNCTION("""COMPUTED_VALUE"""),"Defence
Charm")</f>
        <v>Defence
Charm</v>
      </c>
      <c r="C7" s="31" t="str">
        <f>IFERROR(__xludf.DUMMYFUNCTION("""COMPUTED_VALUE"""),"5
10")</f>
        <v>5
10</v>
      </c>
      <c r="D7" s="31" t="str">
        <f>IFERROR(__xludf.DUMMYFUNCTION("""COMPUTED_VALUE"""),"6
11")</f>
        <v>6
11</v>
      </c>
      <c r="E7" s="31" t="str">
        <f>IFERROR(__xludf.DUMMYFUNCTION("""COMPUTED_VALUE"""),"8
13")</f>
        <v>8
13</v>
      </c>
      <c r="F7" s="31" t="str">
        <f>IFERROR(__xludf.DUMMYFUNCTION("""COMPUTED_VALUE"""),"10
15")</f>
        <v>10
15</v>
      </c>
      <c r="G7" s="31" t="str">
        <f>IFERROR(__xludf.DUMMYFUNCTION("""COMPUTED_VALUE"""),"Lightning Damage Reduction (10/15/20/25%)")</f>
        <v>Lightning Damage Reduction (10/15/20/25%)</v>
      </c>
      <c r="H7" s="41" t="str">
        <f>IFERROR(__xludf.DUMMYFUNCTION("""COMPUTED_VALUE"""),"Recipe: An Anthology of Elemental Earrings")</f>
        <v>Recipe: An Anthology of Elemental Earrings</v>
      </c>
      <c r="I7" s="41" t="str">
        <f>IFERROR(__xludf.DUMMYFUNCTION("""COMPUTED_VALUE"""),"Platinum Ore: 1
Purple Eye: 1")</f>
        <v>Platinum Ore: 1
Purple Eye: 1</v>
      </c>
    </row>
    <row r="8">
      <c r="A8" s="42" t="str">
        <f>IFERROR(__xludf.DUMMYFUNCTION("""COMPUTED_VALUE"""),"Aerofoil Earrings")</f>
        <v>Aerofoil Earrings</v>
      </c>
      <c r="B8" s="30" t="str">
        <f>IFERROR(__xludf.DUMMYFUNCTION("""COMPUTED_VALUE"""),"Defence
Charm")</f>
        <v>Defence
Charm</v>
      </c>
      <c r="C8" s="30" t="str">
        <f>IFERROR(__xludf.DUMMYFUNCTION("""COMPUTED_VALUE"""),"5
10")</f>
        <v>5
10</v>
      </c>
      <c r="D8" s="30" t="str">
        <f>IFERROR(__xludf.DUMMYFUNCTION("""COMPUTED_VALUE"""),"6
11")</f>
        <v>6
11</v>
      </c>
      <c r="E8" s="30" t="str">
        <f>IFERROR(__xludf.DUMMYFUNCTION("""COMPUTED_VALUE"""),"8
13")</f>
        <v>8
13</v>
      </c>
      <c r="F8" s="30" t="str">
        <f>IFERROR(__xludf.DUMMYFUNCTION("""COMPUTED_VALUE"""),"10
15")</f>
        <v>10
15</v>
      </c>
      <c r="G8" s="30" t="str">
        <f>IFERROR(__xludf.DUMMYFUNCTION("""COMPUTED_VALUE"""),"Wind Damage Reduction (10/15/20/25%)")</f>
        <v>Wind Damage Reduction (10/15/20/25%)</v>
      </c>
      <c r="H8" s="42" t="str">
        <f>IFERROR(__xludf.DUMMYFUNCTION("""COMPUTED_VALUE"""),"Champs Sauvage: 3000
Recipe: An Anthology of Elemental Earrings")</f>
        <v>Champs Sauvage: 3000
Recipe: An Anthology of Elemental Earrings</v>
      </c>
      <c r="I8" s="42" t="str">
        <f>IFERROR(__xludf.DUMMYFUNCTION("""COMPUTED_VALUE"""),"Platinum Ore: 1
Green Eye: 1")</f>
        <v>Platinum Ore: 1
Green Eye: 1</v>
      </c>
    </row>
    <row r="9">
      <c r="A9" s="41" t="str">
        <f>IFERROR(__xludf.DUMMYFUNCTION("""COMPUTED_VALUE"""),"Concrete Earrings")</f>
        <v>Concrete Earrings</v>
      </c>
      <c r="B9" s="31" t="str">
        <f>IFERROR(__xludf.DUMMYFUNCTION("""COMPUTED_VALUE"""),"Defence
Charm")</f>
        <v>Defence
Charm</v>
      </c>
      <c r="C9" s="31" t="str">
        <f>IFERROR(__xludf.DUMMYFUNCTION("""COMPUTED_VALUE"""),"5
10")</f>
        <v>5
10</v>
      </c>
      <c r="D9" s="31" t="str">
        <f>IFERROR(__xludf.DUMMYFUNCTION("""COMPUTED_VALUE"""),"6
11")</f>
        <v>6
11</v>
      </c>
      <c r="E9" s="31" t="str">
        <f>IFERROR(__xludf.DUMMYFUNCTION("""COMPUTED_VALUE"""),"8
13")</f>
        <v>8
13</v>
      </c>
      <c r="F9" s="31" t="str">
        <f>IFERROR(__xludf.DUMMYFUNCTION("""COMPUTED_VALUE"""),"10
15")</f>
        <v>10
15</v>
      </c>
      <c r="G9" s="31" t="str">
        <f>IFERROR(__xludf.DUMMYFUNCTION("""COMPUTED_VALUE"""),"Earth Damage Reduction (10/15/20/25%)")</f>
        <v>Earth Damage Reduction (10/15/20/25%)</v>
      </c>
      <c r="H9" s="41" t="str">
        <f>IFERROR(__xludf.DUMMYFUNCTION("""COMPUTED_VALUE"""),"Recipe: An Anthology of Elemental Earrings")</f>
        <v>Recipe: An Anthology of Elemental Earrings</v>
      </c>
      <c r="I9" s="41" t="str">
        <f>IFERROR(__xludf.DUMMYFUNCTION("""COMPUTED_VALUE"""),"Platinum Ore: 1
Yellow Eye: 1")</f>
        <v>Platinum Ore: 1
Yellow Eye: 1</v>
      </c>
    </row>
    <row r="10">
      <c r="A10" s="42" t="str">
        <f>IFERROR(__xludf.DUMMYFUNCTION("""COMPUTED_VALUE"""),"Mirror Earrings")</f>
        <v>Mirror Earrings</v>
      </c>
      <c r="B10" s="30" t="str">
        <f>IFERROR(__xludf.DUMMYFUNCTION("""COMPUTED_VALUE"""),"Defence
Charm")</f>
        <v>Defence
Charm</v>
      </c>
      <c r="C10" s="30" t="str">
        <f>IFERROR(__xludf.DUMMYFUNCTION("""COMPUTED_VALUE"""),"5
10")</f>
        <v>5
10</v>
      </c>
      <c r="D10" s="30" t="str">
        <f>IFERROR(__xludf.DUMMYFUNCTION("""COMPUTED_VALUE"""),"6
11")</f>
        <v>6
11</v>
      </c>
      <c r="E10" s="30" t="str">
        <f>IFERROR(__xludf.DUMMYFUNCTION("""COMPUTED_VALUE"""),"8
13")</f>
        <v>8
13</v>
      </c>
      <c r="F10" s="30" t="str">
        <f>IFERROR(__xludf.DUMMYFUNCTION("""COMPUTED_VALUE"""),"10
15")</f>
        <v>10
15</v>
      </c>
      <c r="G10" s="30" t="str">
        <f>IFERROR(__xludf.DUMMYFUNCTION("""COMPUTED_VALUE"""),"Light Damage Reduction (10/15/20/25%)")</f>
        <v>Light Damage Reduction (10/15/20/25%)</v>
      </c>
      <c r="H10" s="42" t="str">
        <f>IFERROR(__xludf.DUMMYFUNCTION("""COMPUTED_VALUE"""),"Emerald Coast, Arboria: 3000
Recipe: An Anthology of Elemental Earrings")</f>
        <v>Emerald Coast, Arboria: 3000
Recipe: An Anthology of Elemental Earrings</v>
      </c>
      <c r="I10" s="42" t="str">
        <f>IFERROR(__xludf.DUMMYFUNCTION("""COMPUTED_VALUE"""),"Platinum Ore: 1
Lucida Shard: 1")</f>
        <v>Platinum Ore: 1
Lucida Shard: 1</v>
      </c>
    </row>
    <row r="11">
      <c r="A11" s="41" t="str">
        <f>IFERROR(__xludf.DUMMYFUNCTION("""COMPUTED_VALUE"""),"Cinderblock Earrings")</f>
        <v>Cinderblock Earrings</v>
      </c>
      <c r="B11" s="31" t="str">
        <f>IFERROR(__xludf.DUMMYFUNCTION("""COMPUTED_VALUE"""),"Defence
Charm")</f>
        <v>Defence
Charm</v>
      </c>
      <c r="C11" s="31" t="str">
        <f>IFERROR(__xludf.DUMMYFUNCTION("""COMPUTED_VALUE"""),"5
16")</f>
        <v>5
16</v>
      </c>
      <c r="D11" s="31" t="str">
        <f>IFERROR(__xludf.DUMMYFUNCTION("""COMPUTED_VALUE"""),"6
17")</f>
        <v>6
17</v>
      </c>
      <c r="E11" s="31" t="str">
        <f>IFERROR(__xludf.DUMMYFUNCTION("""COMPUTED_VALUE"""),"8
18")</f>
        <v>8
18</v>
      </c>
      <c r="F11" s="31" t="str">
        <f>IFERROR(__xludf.DUMMYFUNCTION("""COMPUTED_VALUE"""),"10
20")</f>
        <v>10
20</v>
      </c>
      <c r="G11" s="31" t="str">
        <f>IFERROR(__xludf.DUMMYFUNCTION("""COMPUTED_VALUE"""),"Fire Damage Reduction (10/15/20/25%)
Earth Damage Reduction (10/15/20/25%)")</f>
        <v>Fire Damage Reduction (10/15/20/25%)
Earth Damage Reduction (10/15/20/25%)</v>
      </c>
      <c r="H11" s="41" t="str">
        <f>IFERROR(__xludf.DUMMYFUNCTION("""COMPUTED_VALUE"""),"Recipe: An Earring for Every Element")</f>
        <v>Recipe: An Earring for Every Element</v>
      </c>
      <c r="I11" s="41" t="str">
        <f>IFERROR(__xludf.DUMMYFUNCTION("""COMPUTED_VALUE"""),"Gold Nuglet: 1
Royal Ruby: 1
Sunny Citrine: 1
Glass Frit: 1")</f>
        <v>Gold Nuglet: 1
Royal Ruby: 1
Sunny Citrine: 1
Glass Frit: 1</v>
      </c>
    </row>
    <row r="12">
      <c r="A12" s="42" t="str">
        <f>IFERROR(__xludf.DUMMYFUNCTION("""COMPUTED_VALUE"""),"All-Weather Earrings")</f>
        <v>All-Weather Earrings</v>
      </c>
      <c r="B12" s="30" t="str">
        <f>IFERROR(__xludf.DUMMYFUNCTION("""COMPUTED_VALUE"""),"Defence
Charm")</f>
        <v>Defence
Charm</v>
      </c>
      <c r="C12" s="30" t="str">
        <f>IFERROR(__xludf.DUMMYFUNCTION("""COMPUTED_VALUE"""),"5
16")</f>
        <v>5
16</v>
      </c>
      <c r="D12" s="30" t="str">
        <f>IFERROR(__xludf.DUMMYFUNCTION("""COMPUTED_VALUE"""),"6
17")</f>
        <v>6
17</v>
      </c>
      <c r="E12" s="30" t="str">
        <f>IFERROR(__xludf.DUMMYFUNCTION("""COMPUTED_VALUE"""),"8
18")</f>
        <v>8
18</v>
      </c>
      <c r="F12" s="30" t="str">
        <f>IFERROR(__xludf.DUMMYFUNCTION("""COMPUTED_VALUE"""),"10
20")</f>
        <v>10
20</v>
      </c>
      <c r="G12" s="30" t="str">
        <f>IFERROR(__xludf.DUMMYFUNCTION("""COMPUTED_VALUE"""),"Ice Damage Reduction (10/15/20/25%)
Wind Damage Reduction (10/15/20/25%)")</f>
        <v>Ice Damage Reduction (10/15/20/25%)
Wind Damage Reduction (10/15/20/25%)</v>
      </c>
      <c r="H12" s="42" t="str">
        <f>IFERROR(__xludf.DUMMYFUNCTION("""COMPUTED_VALUE"""),"Recipe: An Earring for Every Element")</f>
        <v>Recipe: An Earring for Every Element</v>
      </c>
      <c r="I12" s="42" t="str">
        <f>IFERROR(__xludf.DUMMYFUNCTION("""COMPUTED_VALUE"""),"Gold Nuglet: 1
Savvy Sapphire: 1
Equable Emerald: 1
Glass Frit: 1")</f>
        <v>Gold Nuglet: 1
Savvy Sapphire: 1
Equable Emerald: 1
Glass Frit: 1</v>
      </c>
    </row>
    <row r="13">
      <c r="A13" s="41" t="str">
        <f>IFERROR(__xludf.DUMMYFUNCTION("""COMPUTED_VALUE"""),"Blackout Earrings")</f>
        <v>Blackout Earrings</v>
      </c>
      <c r="B13" s="31" t="str">
        <f>IFERROR(__xludf.DUMMYFUNCTION("""COMPUTED_VALUE"""),"Defence
Charm")</f>
        <v>Defence
Charm</v>
      </c>
      <c r="C13" s="31" t="str">
        <f>IFERROR(__xludf.DUMMYFUNCTION("""COMPUTED_VALUE"""),"5
16")</f>
        <v>5
16</v>
      </c>
      <c r="D13" s="31" t="str">
        <f>IFERROR(__xludf.DUMMYFUNCTION("""COMPUTED_VALUE"""),"6
17")</f>
        <v>6
17</v>
      </c>
      <c r="E13" s="31" t="str">
        <f>IFERROR(__xludf.DUMMYFUNCTION("""COMPUTED_VALUE"""),"8
18")</f>
        <v>8
18</v>
      </c>
      <c r="F13" s="31" t="str">
        <f>IFERROR(__xludf.DUMMYFUNCTION("""COMPUTED_VALUE"""),"10
20")</f>
        <v>10
20</v>
      </c>
      <c r="G13" s="31" t="str">
        <f>IFERROR(__xludf.DUMMYFUNCTION("""COMPUTED_VALUE"""),"Lightning Damage Reduction (10/15/20/25%)
Light Damage Reduction (10/15/20/25%)")</f>
        <v>Lightning Damage Reduction (10/15/20/25%)
Light Damage Reduction (10/15/20/25%)</v>
      </c>
      <c r="H13" s="41" t="str">
        <f>IFERROR(__xludf.DUMMYFUNCTION("""COMPUTED_VALUE"""),"Recipe: An Earring for Every Element")</f>
        <v>Recipe: An Earring for Every Element</v>
      </c>
      <c r="I13" s="41" t="str">
        <f>IFERROR(__xludf.DUMMYFUNCTION("""COMPUTED_VALUE"""),"Gold Nuglet: 1
Artful Amethyst: 1
Lucida Shard: 1
Glass Frit: 1")</f>
        <v>Gold Nuglet: 1
Artful Amethyst: 1
Lucida Shard: 1
Glass Frit: 1</v>
      </c>
    </row>
    <row r="14">
      <c r="A14" s="42" t="str">
        <f>IFERROR(__xludf.DUMMYFUNCTION("""COMPUTED_VALUE"""),"Scholar's Specs")</f>
        <v>Scholar's Specs</v>
      </c>
      <c r="B14" s="30" t="str">
        <f>IFERROR(__xludf.DUMMYFUNCTION("""COMPUTED_VALUE"""),"Magic Might
Magic Mend
Charm")</f>
        <v>Magic Might
Magic Mend
Charm</v>
      </c>
      <c r="C14" s="30" t="str">
        <f>IFERROR(__xludf.DUMMYFUNCTION("""COMPUTED_VALUE"""),"15
15
15")</f>
        <v>15
15
15</v>
      </c>
      <c r="D14" s="30" t="str">
        <f>IFERROR(__xludf.DUMMYFUNCTION("""COMPUTED_VALUE"""),"16
16
16")</f>
        <v>16
16
16</v>
      </c>
      <c r="E14" s="30" t="str">
        <f>IFERROR(__xludf.DUMMYFUNCTION("""COMPUTED_VALUE"""),"18
18
18")</f>
        <v>18
18
18</v>
      </c>
      <c r="F14" s="30" t="str">
        <f>IFERROR(__xludf.DUMMYFUNCTION("""COMPUTED_VALUE"""),"20
20
20")</f>
        <v>20
20
20</v>
      </c>
      <c r="G14" s="30" t="str">
        <f>IFERROR(__xludf.DUMMYFUNCTION("""COMPUTED_VALUE"""),"--")</f>
        <v>--</v>
      </c>
      <c r="H14" s="42" t="str">
        <f>IFERROR(__xludf.DUMMYFUNCTION("""COMPUTED_VALUE"""),"Recipe: Sage Advice")</f>
        <v>Recipe: Sage Advice</v>
      </c>
      <c r="I14" s="42" t="str">
        <f>IFERROR(__xludf.DUMMYFUNCTION("""COMPUTED_VALUE"""),"Gold Ore: 2
Thinkincense: 3
Glass Frit: 2
Mirrorstone: 1")</f>
        <v>Gold Ore: 2
Thinkincense: 3
Glass Frit: 2
Mirrorstone: 1</v>
      </c>
    </row>
    <row r="15">
      <c r="A15" s="40" t="str">
        <f>IFERROR(__xludf.DUMMYFUNCTION("""COMPUTED_VALUE"""),"Neckwear")</f>
        <v>Neckwear</v>
      </c>
      <c r="B15" s="24"/>
      <c r="C15" s="24"/>
      <c r="D15" s="24"/>
      <c r="E15" s="24"/>
      <c r="F15" s="24"/>
      <c r="G15" s="24"/>
      <c r="H15" s="24"/>
      <c r="I15" s="25"/>
    </row>
    <row r="16">
      <c r="A16" s="42" t="str">
        <f>IFERROR(__xludf.DUMMYFUNCTION("""COMPUTED_VALUE"""),"Gold Chain")</f>
        <v>Gold Chain</v>
      </c>
      <c r="B16" s="30" t="str">
        <f>IFERROR(__xludf.DUMMYFUNCTION("""COMPUTED_VALUE"""),"Defence
Max HP
Charm")</f>
        <v>Defence
Max HP
Charm</v>
      </c>
      <c r="C16" s="30" t="str">
        <f>IFERROR(__xludf.DUMMYFUNCTION("""COMPUTED_VALUE"""),"1
5
5")</f>
        <v>1
5
5</v>
      </c>
      <c r="D16" s="30" t="str">
        <f>IFERROR(__xludf.DUMMYFUNCTION("""COMPUTED_VALUE"""),"2
6
6")</f>
        <v>2
6
6</v>
      </c>
      <c r="E16" s="30" t="str">
        <f>IFERROR(__xludf.DUMMYFUNCTION("""COMPUTED_VALUE"""),"3
8
7")</f>
        <v>3
8
7</v>
      </c>
      <c r="F16" s="30" t="str">
        <f>IFERROR(__xludf.DUMMYFUNCTION("""COMPUTED_VALUE"""),"4
10
8")</f>
        <v>4
10
8</v>
      </c>
      <c r="G16" s="30" t="str">
        <f>IFERROR(__xludf.DUMMYFUNCTION("""COMPUTED_VALUE"""),"--")</f>
        <v>--</v>
      </c>
      <c r="H16" s="42" t="str">
        <f>IFERROR(__xludf.DUMMYFUNCTION("""COMPUTED_VALUE"""),"Quest: It Takes Two to Tango
Recipe: Filigree for Fun and Profit")</f>
        <v>Quest: It Takes Two to Tango
Recipe: Filigree for Fun and Profit</v>
      </c>
      <c r="I16" s="42" t="str">
        <f>IFERROR(__xludf.DUMMYFUNCTION("""COMPUTED_VALUE"""),"Gold Ore: 2
Flaxen Thread: 1")</f>
        <v>Gold Ore: 2
Flaxen Thread: 1</v>
      </c>
    </row>
    <row r="17">
      <c r="A17" s="41" t="str">
        <f>IFERROR(__xludf.DUMMYFUNCTION("""COMPUTED_VALUE"""),"Gold Rosary")</f>
        <v>Gold Rosary</v>
      </c>
      <c r="B17" s="31" t="str">
        <f>IFERROR(__xludf.DUMMYFUNCTION("""COMPUTED_VALUE"""),"Magic Might
Magic Mend")</f>
        <v>Magic Might
Magic Mend</v>
      </c>
      <c r="C17" s="31" t="str">
        <f>IFERROR(__xludf.DUMMYFUNCTION("""COMPUTED_VALUE"""),"5
5")</f>
        <v>5
5</v>
      </c>
      <c r="D17" s="31" t="str">
        <f>IFERROR(__xludf.DUMMYFUNCTION("""COMPUTED_VALUE"""),"6
6")</f>
        <v>6
6</v>
      </c>
      <c r="E17" s="31" t="str">
        <f>IFERROR(__xludf.DUMMYFUNCTION("""COMPUTED_VALUE"""),"8
8")</f>
        <v>8
8</v>
      </c>
      <c r="F17" s="31" t="str">
        <f>IFERROR(__xludf.DUMMYFUNCTION("""COMPUTED_VALUE"""),"10
10")</f>
        <v>10
10</v>
      </c>
      <c r="G17" s="31" t="str">
        <f>IFERROR(__xludf.DUMMYFUNCTION("""COMPUTED_VALUE"""),"--")</f>
        <v>--</v>
      </c>
      <c r="H17" s="41" t="str">
        <f>IFERROR(__xludf.DUMMYFUNCTION("""COMPUTED_VALUE"""),"Puerto Valor: 500")</f>
        <v>Puerto Valor: 500</v>
      </c>
      <c r="I17" s="41"/>
    </row>
    <row r="18">
      <c r="A18" s="42" t="str">
        <f>IFERROR(__xludf.DUMMYFUNCTION("""COMPUTED_VALUE"""),"Star of Clarity")</f>
        <v>Star of Clarity</v>
      </c>
      <c r="B18" s="30" t="str">
        <f>IFERROR(__xludf.DUMMYFUNCTION("""COMPUTED_VALUE"""),"Defence")</f>
        <v>Defence</v>
      </c>
      <c r="C18" s="30">
        <f>IFERROR(__xludf.DUMMYFUNCTION("""COMPUTED_VALUE"""),3.0)</f>
        <v>3</v>
      </c>
      <c r="D18" s="30">
        <f>IFERROR(__xludf.DUMMYFUNCTION("""COMPUTED_VALUE"""),4.0)</f>
        <v>4</v>
      </c>
      <c r="E18" s="30">
        <f>IFERROR(__xludf.DUMMYFUNCTION("""COMPUTED_VALUE"""),5.0)</f>
        <v>5</v>
      </c>
      <c r="F18" s="30">
        <f>IFERROR(__xludf.DUMMYFUNCTION("""COMPUTED_VALUE"""),6.0)</f>
        <v>6</v>
      </c>
      <c r="G18" s="30" t="str">
        <f>IFERROR(__xludf.DUMMYFUNCTION("""COMPUTED_VALUE"""),"Confusion Protection (10/15/20/25%)")</f>
        <v>Confusion Protection (10/15/20/25%)</v>
      </c>
      <c r="H18" s="42" t="str">
        <f>IFERROR(__xludf.DUMMYFUNCTION("""COMPUTED_VALUE"""),"Champs Sauvage: 2000
Recipe: Next-Level Neckwear")</f>
        <v>Champs Sauvage: 2000
Recipe: Next-Level Neckwear</v>
      </c>
      <c r="I18" s="42" t="str">
        <f>IFERROR(__xludf.DUMMYFUNCTION("""COMPUTED_VALUE"""),"Silver Ore: 1
Angel Bell: 1
Lucida Shard: 1")</f>
        <v>Silver Ore: 1
Angel Bell: 1
Lucida Shard: 1</v>
      </c>
    </row>
    <row r="19">
      <c r="A19" s="41" t="str">
        <f>IFERROR(__xludf.DUMMYFUNCTION("""COMPUTED_VALUE"""),"Necklace of Immunity")</f>
        <v>Necklace of Immunity</v>
      </c>
      <c r="B19" s="31" t="str">
        <f>IFERROR(__xludf.DUMMYFUNCTION("""COMPUTED_VALUE"""),"Defence")</f>
        <v>Defence</v>
      </c>
      <c r="C19" s="31">
        <f>IFERROR(__xludf.DUMMYFUNCTION("""COMPUTED_VALUE"""),3.0)</f>
        <v>3</v>
      </c>
      <c r="D19" s="31">
        <f>IFERROR(__xludf.DUMMYFUNCTION("""COMPUTED_VALUE"""),4.0)</f>
        <v>4</v>
      </c>
      <c r="E19" s="31">
        <f>IFERROR(__xludf.DUMMYFUNCTION("""COMPUTED_VALUE"""),5.0)</f>
        <v>5</v>
      </c>
      <c r="F19" s="31">
        <f>IFERROR(__xludf.DUMMYFUNCTION("""COMPUTED_VALUE"""),6.0)</f>
        <v>6</v>
      </c>
      <c r="G19" s="31" t="str">
        <f>IFERROR(__xludf.DUMMYFUNCTION("""COMPUTED_VALUE"""),"Poison Protection (10/15/20/25%)")</f>
        <v>Poison Protection (10/15/20/25%)</v>
      </c>
      <c r="H19" s="41" t="str">
        <f>IFERROR(__xludf.DUMMYFUNCTION("""COMPUTED_VALUE"""),"Recipe: Next-Level Neckwear")</f>
        <v>Recipe: Next-Level Neckwear</v>
      </c>
      <c r="I19" s="41" t="str">
        <f>IFERROR(__xludf.DUMMYFUNCTION("""COMPUTED_VALUE"""),"Gold Ore: 1
Antidotal Herb: 1
Purple Eye: 1")</f>
        <v>Gold Ore: 1
Antidotal Herb: 1
Purple Eye: 1</v>
      </c>
    </row>
    <row r="20">
      <c r="A20" s="42" t="str">
        <f>IFERROR(__xludf.DUMMYFUNCTION("""COMPUTED_VALUE"""),"Full Moon Collar")</f>
        <v>Full Moon Collar</v>
      </c>
      <c r="B20" s="30" t="str">
        <f>IFERROR(__xludf.DUMMYFUNCTION("""COMPUTED_VALUE"""),"Defence")</f>
        <v>Defence</v>
      </c>
      <c r="C20" s="30">
        <f>IFERROR(__xludf.DUMMYFUNCTION("""COMPUTED_VALUE"""),3.0)</f>
        <v>3</v>
      </c>
      <c r="D20" s="30">
        <f>IFERROR(__xludf.DUMMYFUNCTION("""COMPUTED_VALUE"""),4.0)</f>
        <v>4</v>
      </c>
      <c r="E20" s="30">
        <f>IFERROR(__xludf.DUMMYFUNCTION("""COMPUTED_VALUE"""),5.0)</f>
        <v>5</v>
      </c>
      <c r="F20" s="30">
        <f>IFERROR(__xludf.DUMMYFUNCTION("""COMPUTED_VALUE"""),6.0)</f>
        <v>6</v>
      </c>
      <c r="G20" s="30" t="str">
        <f>IFERROR(__xludf.DUMMYFUNCTION("""COMPUTED_VALUE"""),"Paralysis Protection (10/15/20/25%)")</f>
        <v>Paralysis Protection (10/15/20/25%)</v>
      </c>
      <c r="H20" s="42" t="str">
        <f>IFERROR(__xludf.DUMMYFUNCTION("""COMPUTED_VALUE"""),"Recipe: Next-Level Neckwear")</f>
        <v>Recipe: Next-Level Neckwear</v>
      </c>
      <c r="I20" s="42" t="str">
        <f>IFERROR(__xludf.DUMMYFUNCTION("""COMPUTED_VALUE"""),"Magic Beast Hide: 1
Moonwort Bulb: 1
Yellow Eye: 1")</f>
        <v>Magic Beast Hide: 1
Moonwort Bulb: 1
Yellow Eye: 1</v>
      </c>
    </row>
    <row r="21">
      <c r="A21" s="41" t="str">
        <f>IFERROR(__xludf.DUMMYFUNCTION("""COMPUTED_VALUE"""),"Rousing Rose Collar")</f>
        <v>Rousing Rose Collar</v>
      </c>
      <c r="B21" s="31" t="str">
        <f>IFERROR(__xludf.DUMMYFUNCTION("""COMPUTED_VALUE"""),"Defence")</f>
        <v>Defence</v>
      </c>
      <c r="C21" s="31">
        <f>IFERROR(__xludf.DUMMYFUNCTION("""COMPUTED_VALUE"""),3.0)</f>
        <v>3</v>
      </c>
      <c r="D21" s="31">
        <f>IFERROR(__xludf.DUMMYFUNCTION("""COMPUTED_VALUE"""),4.0)</f>
        <v>4</v>
      </c>
      <c r="E21" s="31">
        <f>IFERROR(__xludf.DUMMYFUNCTION("""COMPUTED_VALUE"""),5.0)</f>
        <v>5</v>
      </c>
      <c r="F21" s="31">
        <f>IFERROR(__xludf.DUMMYFUNCTION("""COMPUTED_VALUE"""),6.0)</f>
        <v>6</v>
      </c>
      <c r="G21" s="31" t="str">
        <f>IFERROR(__xludf.DUMMYFUNCTION("""COMPUTED_VALUE"""),"Sleep Protection (10/15/20/25%)")</f>
        <v>Sleep Protection (10/15/20/25%)</v>
      </c>
      <c r="H21" s="41" t="str">
        <f>IFERROR(__xludf.DUMMYFUNCTION("""COMPUTED_VALUE"""),"Recipe: Next-Level Neckwear")</f>
        <v>Recipe: Next-Level Neckwear</v>
      </c>
      <c r="I21" s="41" t="str">
        <f>IFERROR(__xludf.DUMMYFUNCTION("""COMPUTED_VALUE"""),"Copper Ore: 2
Wakerobin: 1
Red Eye: 1")</f>
        <v>Copper Ore: 2
Wakerobin: 1
Red Eye: 1</v>
      </c>
    </row>
    <row r="22">
      <c r="A22" s="42" t="str">
        <f>IFERROR(__xludf.DUMMYFUNCTION("""COMPUTED_VALUE"""),"Care Riviere")</f>
        <v>Care Riviere</v>
      </c>
      <c r="B22" s="30" t="str">
        <f>IFERROR(__xludf.DUMMYFUNCTION("""COMPUTED_VALUE"""),"Defence")</f>
        <v>Defence</v>
      </c>
      <c r="C22" s="30">
        <f>IFERROR(__xludf.DUMMYFUNCTION("""COMPUTED_VALUE"""),3.0)</f>
        <v>3</v>
      </c>
      <c r="D22" s="30">
        <f>IFERROR(__xludf.DUMMYFUNCTION("""COMPUTED_VALUE"""),4.0)</f>
        <v>4</v>
      </c>
      <c r="E22" s="30">
        <f>IFERROR(__xludf.DUMMYFUNCTION("""COMPUTED_VALUE"""),5.0)</f>
        <v>5</v>
      </c>
      <c r="F22" s="30">
        <f>IFERROR(__xludf.DUMMYFUNCTION("""COMPUTED_VALUE"""),6.0)</f>
        <v>6</v>
      </c>
      <c r="G22" s="30" t="str">
        <f>IFERROR(__xludf.DUMMYFUNCTION("""COMPUTED_VALUE"""),"Spell-Sealing Protection (10/15/20/25%)
Ability-Sealing Protection (10/15/20/25%)")</f>
        <v>Spell-Sealing Protection (10/15/20/25%)
Ability-Sealing Protection (10/15/20/25%)</v>
      </c>
      <c r="H22" s="42" t="str">
        <f>IFERROR(__xludf.DUMMYFUNCTION("""COMPUTED_VALUE"""),"Dundrasil Region, Phnom Nonh: 2000
Recipe: Next-Level Neckwear")</f>
        <v>Dundrasil Region, Phnom Nonh: 2000
Recipe: Next-Level Neckwear</v>
      </c>
      <c r="I22" s="42" t="str">
        <f>IFERROR(__xludf.DUMMYFUNCTION("""COMPUTED_VALUE"""),"Silver Ore: 1
Belle Cap: 1
Pitch Pearl: 1")</f>
        <v>Silver Ore: 1
Belle Cap: 1
Pitch Pearl: 1</v>
      </c>
    </row>
    <row r="23">
      <c r="A23" s="9" t="str">
        <f>IFERROR(__xludf.DUMMYFUNCTION("""COMPUTED_VALUE"""),"Torc of Truth")</f>
        <v>Torc of Truth</v>
      </c>
      <c r="B23" s="31" t="str">
        <f>IFERROR(__xludf.DUMMYFUNCTION("""COMPUTED_VALUE"""),"Defence")</f>
        <v>Defence</v>
      </c>
      <c r="C23" s="31">
        <f>IFERROR(__xludf.DUMMYFUNCTION("""COMPUTED_VALUE"""),3.0)</f>
        <v>3</v>
      </c>
      <c r="D23" s="31">
        <f>IFERROR(__xludf.DUMMYFUNCTION("""COMPUTED_VALUE"""),4.0)</f>
        <v>4</v>
      </c>
      <c r="E23" s="31">
        <f>IFERROR(__xludf.DUMMYFUNCTION("""COMPUTED_VALUE"""),5.0)</f>
        <v>5</v>
      </c>
      <c r="F23" s="31">
        <f>IFERROR(__xludf.DUMMYFUNCTION("""COMPUTED_VALUE"""),6.0)</f>
        <v>6</v>
      </c>
      <c r="G23" s="31" t="str">
        <f>IFERROR(__xludf.DUMMYFUNCTION("""COMPUTED_VALUE"""),"Bedazzlement Protection (10/15/20/25%)")</f>
        <v>Bedazzlement Protection (10/15/20/25%)</v>
      </c>
      <c r="H23" s="41" t="str">
        <f>IFERROR(__xludf.DUMMYFUNCTION("""COMPUTED_VALUE"""),"Angri-La: 2000
Recipe: Next-Level Neckwear")</f>
        <v>Angri-La: 2000
Recipe: Next-Level Neckwear</v>
      </c>
      <c r="I23" s="41" t="str">
        <f>IFERROR(__xludf.DUMMYFUNCTION("""COMPUTED_VALUE"""),"Silver Ore: 1
Fresh Water: 1
Purple Eye: 1")</f>
        <v>Silver Ore: 1
Fresh Water: 1
Purple Eye: 1</v>
      </c>
    </row>
    <row r="24">
      <c r="A24" s="13" t="str">
        <f>IFERROR(__xludf.DUMMYFUNCTION("""COMPUTED_VALUE"""),"Protective Pendant")</f>
        <v>Protective Pendant</v>
      </c>
      <c r="B24" s="30" t="str">
        <f>IFERROR(__xludf.DUMMYFUNCTION("""COMPUTED_VALUE"""),"Defence")</f>
        <v>Defence</v>
      </c>
      <c r="C24" s="30">
        <f>IFERROR(__xludf.DUMMYFUNCTION("""COMPUTED_VALUE"""),3.0)</f>
        <v>3</v>
      </c>
      <c r="D24" s="30">
        <f>IFERROR(__xludf.DUMMYFUNCTION("""COMPUTED_VALUE"""),4.0)</f>
        <v>4</v>
      </c>
      <c r="E24" s="30">
        <f>IFERROR(__xludf.DUMMYFUNCTION("""COMPUTED_VALUE"""),5.0)</f>
        <v>5</v>
      </c>
      <c r="F24" s="30">
        <f>IFERROR(__xludf.DUMMYFUNCTION("""COMPUTED_VALUE"""),6.0)</f>
        <v>6</v>
      </c>
      <c r="G24" s="30" t="str">
        <f>IFERROR(__xludf.DUMMYFUNCTION("""COMPUTED_VALUE"""),"Beguilement Protection (10/15/20/25%)")</f>
        <v>Beguilement Protection (10/15/20/25%)</v>
      </c>
      <c r="H24" s="42" t="str">
        <f>IFERROR(__xludf.DUMMYFUNCTION("""COMPUTED_VALUE"""),"Dundrasil Region, Phnom Nonh: 2000
Recipe: Next-Level Neckwear")</f>
        <v>Dundrasil Region, Phnom Nonh: 2000
Recipe: Next-Level Neckwear</v>
      </c>
      <c r="I24" s="42" t="str">
        <f>IFERROR(__xludf.DUMMYFUNCTION("""COMPUTED_VALUE"""),"Mirrorstone: 1
Buzzberries: 1
Purple Eye: 1")</f>
        <v>Mirrorstone: 1
Buzzberries: 1
Purple Eye: 1</v>
      </c>
    </row>
    <row r="25">
      <c r="A25" s="9" t="str">
        <f>IFERROR(__xludf.DUMMYFUNCTION("""COMPUTED_VALUE"""),"Choker of Riddannce")</f>
        <v>Choker of Riddannce</v>
      </c>
      <c r="B25" s="31" t="str">
        <f>IFERROR(__xludf.DUMMYFUNCTION("""COMPUTED_VALUE"""),"Defence")</f>
        <v>Defence</v>
      </c>
      <c r="C25" s="31">
        <f>IFERROR(__xludf.DUMMYFUNCTION("""COMPUTED_VALUE"""),3.0)</f>
        <v>3</v>
      </c>
      <c r="D25" s="31">
        <f>IFERROR(__xludf.DUMMYFUNCTION("""COMPUTED_VALUE"""),4.0)</f>
        <v>4</v>
      </c>
      <c r="E25" s="31">
        <f>IFERROR(__xludf.DUMMYFUNCTION("""COMPUTED_VALUE"""),5.0)</f>
        <v>5</v>
      </c>
      <c r="F25" s="31">
        <f>IFERROR(__xludf.DUMMYFUNCTION("""COMPUTED_VALUE"""),6.0)</f>
        <v>6</v>
      </c>
      <c r="G25" s="31" t="str">
        <f>IFERROR(__xludf.DUMMYFUNCTION("""COMPUTED_VALUE"""),"Curse Protection (10/15/20/25%)")</f>
        <v>Curse Protection (10/15/20/25%)</v>
      </c>
      <c r="H25" s="41" t="str">
        <f>IFERROR(__xludf.DUMMYFUNCTION("""COMPUTED_VALUE"""),"Sniflheim: 2000
Recipe: Next-Level Neckwear")</f>
        <v>Sniflheim: 2000
Recipe: Next-Level Neckwear</v>
      </c>
      <c r="I25" s="41" t="str">
        <f>IFERROR(__xludf.DUMMYFUNCTION("""COMPUTED_VALUE"""),"Magic Beast Hide: 1
Holy Water: 1
Red Eye: 1")</f>
        <v>Magic Beast Hide: 1
Holy Water: 1
Red Eye: 1</v>
      </c>
    </row>
    <row r="26">
      <c r="A26" s="13" t="str">
        <f>IFERROR(__xludf.DUMMYFUNCTION("""COMPUTED_VALUE"""),"Dogged Collar")</f>
        <v>Dogged Collar</v>
      </c>
      <c r="B26" s="30" t="str">
        <f>IFERROR(__xludf.DUMMYFUNCTION("""COMPUTED_VALUE"""),"Attack
Defence")</f>
        <v>Attack
Defence</v>
      </c>
      <c r="C26" s="30" t="str">
        <f>IFERROR(__xludf.DUMMYFUNCTION("""COMPUTED_VALUE"""),"8
4")</f>
        <v>8
4</v>
      </c>
      <c r="D26" s="30" t="str">
        <f>IFERROR(__xludf.DUMMYFUNCTION("""COMPUTED_VALUE"""),"9
5")</f>
        <v>9
5</v>
      </c>
      <c r="E26" s="30" t="str">
        <f>IFERROR(__xludf.DUMMYFUNCTION("""COMPUTED_VALUE"""),"10
6")</f>
        <v>10
6</v>
      </c>
      <c r="F26" s="30" t="str">
        <f>IFERROR(__xludf.DUMMYFUNCTION("""COMPUTED_VALUE"""),"12
7")</f>
        <v>12
7</v>
      </c>
      <c r="G26" s="30" t="str">
        <f>IFERROR(__xludf.DUMMYFUNCTION("""COMPUTED_VALUE"""),"--")</f>
        <v>--</v>
      </c>
      <c r="H26" s="42" t="str">
        <f>IFERROR(__xludf.DUMMYFUNCTION("""COMPUTED_VALUE"""),"Recipe: Next-Level Neckwear")</f>
        <v>Recipe: Next-Level Neckwear</v>
      </c>
      <c r="I26" s="42" t="str">
        <f>IFERROR(__xludf.DUMMYFUNCTION("""COMPUTED_VALUE"""),"Dragon Hide: 1
Finessence: 1
Blue Eye: 1")</f>
        <v>Dragon Hide: 1
Finessence: 1
Blue Eye: 1</v>
      </c>
    </row>
    <row r="27">
      <c r="A27" s="9" t="str">
        <f>IFERROR(__xludf.DUMMYFUNCTION("""COMPUTED_VALUE"""),"Papillon Pendant")</f>
        <v>Papillon Pendant</v>
      </c>
      <c r="B27" s="31" t="str">
        <f>IFERROR(__xludf.DUMMYFUNCTION("""COMPUTED_VALUE"""),"Defence
Max HP
Max MP")</f>
        <v>Defence
Max HP
Max MP</v>
      </c>
      <c r="C27" s="31" t="str">
        <f>IFERROR(__xludf.DUMMYFUNCTION("""COMPUTED_VALUE"""),"3
10
10")</f>
        <v>3
10
10</v>
      </c>
      <c r="D27" s="31" t="str">
        <f>IFERROR(__xludf.DUMMYFUNCTION("""COMPUTED_VALUE"""),"3
11
11")</f>
        <v>3
11
11</v>
      </c>
      <c r="E27" s="31" t="str">
        <f>IFERROR(__xludf.DUMMYFUNCTION("""COMPUTED_VALUE"""),"3
13
13")</f>
        <v>3
13
13</v>
      </c>
      <c r="F27" s="31" t="str">
        <f>IFERROR(__xludf.DUMMYFUNCTION("""COMPUTED_VALUE"""),"3
15
15")</f>
        <v>3
15
15</v>
      </c>
      <c r="G27" s="31" t="str">
        <f>IFERROR(__xludf.DUMMYFUNCTION("""COMPUTED_VALUE"""),"MP Theft Reduction (10/15/20/25%)")</f>
        <v>MP Theft Reduction (10/15/20/25%)</v>
      </c>
      <c r="H27" s="41" t="str">
        <f>IFERROR(__xludf.DUMMYFUNCTION("""COMPUTED_VALUE"""),"Recipe: Next-Level Neckwear")</f>
        <v>Recipe: Next-Level Neckwear</v>
      </c>
      <c r="I27" s="41" t="str">
        <f>IFERROR(__xludf.DUMMYFUNCTION("""COMPUTED_VALUE"""),"Gold Ore: 2
Faerie Fluff: 1
Enchanted Stone: 1")</f>
        <v>Gold Ore: 2
Faerie Fluff: 1
Enchanted Stone: 1</v>
      </c>
    </row>
    <row r="28">
      <c r="A28" s="13" t="str">
        <f>IFERROR(__xludf.DUMMYFUNCTION("""COMPUTED_VALUE"""),"Wings of Serendipity")</f>
        <v>Wings of Serendipity</v>
      </c>
      <c r="B28" s="30" t="str">
        <f>IFERROR(__xludf.DUMMYFUNCTION("""COMPUTED_VALUE"""),"Defence
Charm")</f>
        <v>Defence
Charm</v>
      </c>
      <c r="C28" s="30" t="str">
        <f>IFERROR(__xludf.DUMMYFUNCTION("""COMPUTED_VALUE"""),"5
20")</f>
        <v>5
20</v>
      </c>
      <c r="D28" s="30" t="str">
        <f>IFERROR(__xludf.DUMMYFUNCTION("""COMPUTED_VALUE"""),"6
21")</f>
        <v>6
21</v>
      </c>
      <c r="E28" s="30" t="str">
        <f>IFERROR(__xludf.DUMMYFUNCTION("""COMPUTED_VALUE"""),"8
23")</f>
        <v>8
23</v>
      </c>
      <c r="F28" s="30" t="str">
        <f>IFERROR(__xludf.DUMMYFUNCTION("""COMPUTED_VALUE"""),"10
25")</f>
        <v>10
25</v>
      </c>
      <c r="G28" s="30" t="str">
        <f>IFERROR(__xludf.DUMMYFUNCTION("""COMPUTED_VALUE"""),"Increased chance of rarefied monsters (2%)")</f>
        <v>Increased chance of rarefied monsters (2%)</v>
      </c>
      <c r="H28" s="67" t="str">
        <f>IFERROR(__xludf.DUMMYFUNCTION("""COMPUTED_VALUE"""),"Horse Race: Black Cup (Difficult)")</f>
        <v>Horse Race: Black Cup (Difficult)</v>
      </c>
      <c r="I28" s="45"/>
    </row>
    <row r="29">
      <c r="A29" s="9" t="str">
        <f>IFERROR(__xludf.DUMMYFUNCTION("""COMPUTED_VALUE"""),"Token of Fealty")</f>
        <v>Token of Fealty</v>
      </c>
      <c r="B29" s="31" t="str">
        <f>IFERROR(__xludf.DUMMYFUNCTION("""COMPUTED_VALUE"""),"Max HP
Charm")</f>
        <v>Max HP
Charm</v>
      </c>
      <c r="C29" s="31" t="str">
        <f>IFERROR(__xludf.DUMMYFUNCTION("""COMPUTED_VALUE"""),"10
20")</f>
        <v>10
20</v>
      </c>
      <c r="D29" s="31" t="str">
        <f>IFERROR(__xludf.DUMMYFUNCTION("""COMPUTED_VALUE"""),"15
21")</f>
        <v>15
21</v>
      </c>
      <c r="E29" s="31" t="str">
        <f>IFERROR(__xludf.DUMMYFUNCTION("""COMPUTED_VALUE"""),"20
23")</f>
        <v>20
23</v>
      </c>
      <c r="F29" s="31" t="str">
        <f>IFERROR(__xludf.DUMMYFUNCTION("""COMPUTED_VALUE"""),"25
25")</f>
        <v>25
25</v>
      </c>
      <c r="G29" s="31" t="str">
        <f>IFERROR(__xludf.DUMMYFUNCTION("""COMPUTED_VALUE"""),"--")</f>
        <v>--</v>
      </c>
      <c r="H29" s="41" t="str">
        <f>IFERROR(__xludf.DUMMYFUNCTION("""COMPUTED_VALUE"""),"Story")</f>
        <v>Story</v>
      </c>
      <c r="I29" s="46"/>
    </row>
    <row r="30">
      <c r="A30" s="13" t="str">
        <f>IFERROR(__xludf.DUMMYFUNCTION("""COMPUTED_VALUE"""),"Bow Tie")</f>
        <v>Bow Tie</v>
      </c>
      <c r="B30" s="30" t="str">
        <f>IFERROR(__xludf.DUMMYFUNCTION("""COMPUTED_VALUE"""),"Defence
Charm")</f>
        <v>Defence
Charm</v>
      </c>
      <c r="C30" s="30" t="str">
        <f>IFERROR(__xludf.DUMMYFUNCTION("""COMPUTED_VALUE"""),"2
10")</f>
        <v>2
10</v>
      </c>
      <c r="D30" s="30" t="str">
        <f>IFERROR(__xludf.DUMMYFUNCTION("""COMPUTED_VALUE"""),"2
15")</f>
        <v>2
15</v>
      </c>
      <c r="E30" s="30" t="str">
        <f>IFERROR(__xludf.DUMMYFUNCTION("""COMPUTED_VALUE"""),"2
20")</f>
        <v>2
20</v>
      </c>
      <c r="F30" s="30" t="str">
        <f>IFERROR(__xludf.DUMMYFUNCTION("""COMPUTED_VALUE"""),"2
25")</f>
        <v>2
25</v>
      </c>
      <c r="G30" s="30" t="str">
        <f>IFERROR(__xludf.DUMMYFUNCTION("""COMPUTED_VALUE"""),"--")</f>
        <v>--</v>
      </c>
      <c r="H30" s="42" t="str">
        <f>IFERROR(__xludf.DUMMYFUNCTION("""COMPUTED_VALUE"""),"Octagonia Casino: 3000 Tokens")</f>
        <v>Octagonia Casino: 3000 Tokens</v>
      </c>
      <c r="I30" s="45"/>
    </row>
    <row r="31">
      <c r="A31" s="9" t="str">
        <f>IFERROR(__xludf.DUMMYFUNCTION("""COMPUTED_VALUE"""),"Pirate King's Pendant")</f>
        <v>Pirate King's Pendant</v>
      </c>
      <c r="B31" s="31" t="str">
        <f>IFERROR(__xludf.DUMMYFUNCTION("""COMPUTED_VALUE"""),"Defence
Charm")</f>
        <v>Defence
Charm</v>
      </c>
      <c r="C31" s="31" t="str">
        <f>IFERROR(__xludf.DUMMYFUNCTION("""COMPUTED_VALUE"""),"10
35")</f>
        <v>10
35</v>
      </c>
      <c r="D31" s="31" t="str">
        <f>IFERROR(__xludf.DUMMYFUNCTION("""COMPUTED_VALUE"""),"13
36")</f>
        <v>13
36</v>
      </c>
      <c r="E31" s="31" t="str">
        <f>IFERROR(__xludf.DUMMYFUNCTION("""COMPUTED_VALUE"""),"16
38")</f>
        <v>16
38</v>
      </c>
      <c r="F31" s="31" t="str">
        <f>IFERROR(__xludf.DUMMYFUNCTION("""COMPUTED_VALUE"""),"20
42")</f>
        <v>20
42</v>
      </c>
      <c r="G31" s="31" t="str">
        <f>IFERROR(__xludf.DUMMYFUNCTION("""COMPUTED_VALUE"""),"Increased chance of monsters dropping items
Curse Protection (50/60/70/80%)")</f>
        <v>Increased chance of monsters dropping items
Curse Protection (50/60/70/80%)</v>
      </c>
      <c r="H31" s="41" t="str">
        <f>IFERROR(__xludf.DUMMYFUNCTION("""COMPUTED_VALUE"""),"Postgame Event: Sniflheim")</f>
        <v>Postgame Event: Sniflheim</v>
      </c>
      <c r="I31" s="46"/>
    </row>
    <row r="32">
      <c r="A32" s="40" t="str">
        <f>IFERROR(__xludf.DUMMYFUNCTION("""COMPUTED_VALUE"""),"Wristwear")</f>
        <v>Wristwear</v>
      </c>
      <c r="B32" s="7"/>
      <c r="C32" s="7"/>
      <c r="D32" s="7"/>
      <c r="E32" s="7"/>
      <c r="F32" s="7"/>
      <c r="G32" s="7"/>
      <c r="H32" s="7"/>
      <c r="I32" s="8"/>
    </row>
    <row r="33">
      <c r="A33" s="41" t="str">
        <f>IFERROR(__xludf.DUMMYFUNCTION("""COMPUTED_VALUE"""),"Gold Bracer")</f>
        <v>Gold Bracer</v>
      </c>
      <c r="B33" s="31" t="str">
        <f>IFERROR(__xludf.DUMMYFUNCTION("""COMPUTED_VALUE"""),"Defence
Charm")</f>
        <v>Defence
Charm</v>
      </c>
      <c r="C33" s="31" t="str">
        <f>IFERROR(__xludf.DUMMYFUNCTION("""COMPUTED_VALUE"""),"4
6")</f>
        <v>4
6</v>
      </c>
      <c r="D33" s="31" t="str">
        <f>IFERROR(__xludf.DUMMYFUNCTION("""COMPUTED_VALUE"""),"5
7")</f>
        <v>5
7</v>
      </c>
      <c r="E33" s="31" t="str">
        <f>IFERROR(__xludf.DUMMYFUNCTION("""COMPUTED_VALUE"""),"6
8")</f>
        <v>6
8</v>
      </c>
      <c r="F33" s="31" t="str">
        <f>IFERROR(__xludf.DUMMYFUNCTION("""COMPUTED_VALUE"""),"7
9")</f>
        <v>7
9</v>
      </c>
      <c r="G33" s="31" t="str">
        <f>IFERROR(__xludf.DUMMYFUNCTION("""COMPUTED_VALUE"""),"--")</f>
        <v>--</v>
      </c>
      <c r="H33" s="63" t="str">
        <f>IFERROR(__xludf.DUMMYFUNCTION("""COMPUTED_VALUE"""),"Gallopolis: 350
Horse Race: Bronze Cup (Difficult)
Recipe: Filigree for Fun and Profit")</f>
        <v>Gallopolis: 350
Horse Race: Bronze Cup (Difficult)
Recipe: Filigree for Fun and Profit</v>
      </c>
      <c r="I33" s="41" t="str">
        <f>IFERROR(__xludf.DUMMYFUNCTION("""COMPUTED_VALUE"""),"Gold Ore: 1
Copper Ore: 1")</f>
        <v>Gold Ore: 1
Copper Ore: 1</v>
      </c>
    </row>
    <row r="34">
      <c r="A34" s="42" t="str">
        <f>IFERROR(__xludf.DUMMYFUNCTION("""COMPUTED_VALUE"""),"Life Bracer")</f>
        <v>Life Bracer</v>
      </c>
      <c r="B34" s="30" t="str">
        <f>IFERROR(__xludf.DUMMYFUNCTION("""COMPUTED_VALUE"""),"Defence
Max HP")</f>
        <v>Defence
Max HP</v>
      </c>
      <c r="C34" s="30" t="str">
        <f>IFERROR(__xludf.DUMMYFUNCTION("""COMPUTED_VALUE"""),"3
30")</f>
        <v>3
30</v>
      </c>
      <c r="D34" s="30" t="str">
        <f>IFERROR(__xludf.DUMMYFUNCTION("""COMPUTED_VALUE"""),"3
33")</f>
        <v>3
33</v>
      </c>
      <c r="E34" s="30" t="str">
        <f>IFERROR(__xludf.DUMMYFUNCTION("""COMPUTED_VALUE"""),"3
36")</f>
        <v>3
36</v>
      </c>
      <c r="F34" s="30" t="str">
        <f>IFERROR(__xludf.DUMMYFUNCTION("""COMPUTED_VALUE"""),"3
40")</f>
        <v>3
40</v>
      </c>
      <c r="G34" s="30" t="str">
        <f>IFERROR(__xludf.DUMMYFUNCTION("""COMPUTED_VALUE"""),"--")</f>
        <v>--</v>
      </c>
      <c r="H34" s="42" t="str">
        <f>IFERROR(__xludf.DUMMYFUNCTION("""COMPUTED_VALUE"""),"Recipe: Brace Yourself")</f>
        <v>Recipe: Brace Yourself</v>
      </c>
      <c r="I34" s="42" t="str">
        <f>IFERROR(__xludf.DUMMYFUNCTION("""COMPUTED_VALUE"""),"Gold Nuglet: 2
Dieamend: 2
Superior Medicine: 3")</f>
        <v>Gold Nuglet: 2
Dieamend: 2
Superior Medicine: 3</v>
      </c>
    </row>
    <row r="35">
      <c r="A35" s="41" t="str">
        <f>IFERROR(__xludf.DUMMYFUNCTION("""COMPUTED_VALUE"""),"Mighty Armlet")</f>
        <v>Mighty Armlet</v>
      </c>
      <c r="B35" s="31" t="str">
        <f>IFERROR(__xludf.DUMMYFUNCTION("""COMPUTED_VALUE"""),"Attack")</f>
        <v>Attack</v>
      </c>
      <c r="C35" s="31">
        <f>IFERROR(__xludf.DUMMYFUNCTION("""COMPUTED_VALUE"""),15.0)</f>
        <v>15</v>
      </c>
      <c r="D35" s="31">
        <f>IFERROR(__xludf.DUMMYFUNCTION("""COMPUTED_VALUE"""),16.0)</f>
        <v>16</v>
      </c>
      <c r="E35" s="31">
        <f>IFERROR(__xludf.DUMMYFUNCTION("""COMPUTED_VALUE"""),18.0)</f>
        <v>18</v>
      </c>
      <c r="F35" s="31">
        <f>IFERROR(__xludf.DUMMYFUNCTION("""COMPUTED_VALUE"""),20.0)</f>
        <v>20</v>
      </c>
      <c r="G35" s="31" t="str">
        <f>IFERROR(__xludf.DUMMYFUNCTION("""COMPUTED_VALUE"""),"--")</f>
        <v>--</v>
      </c>
      <c r="H35" s="41" t="str">
        <f>IFERROR(__xludf.DUMMYFUNCTION("""COMPUTED_VALUE"""),"Recipe: Brace Yourself
Rare: Stone Guardian, Brodysseus (Rarefied), Pruslas")</f>
        <v>Recipe: Brace Yourself
Rare: Stone Guardian, Brodysseus (Rarefied), Pruslas</v>
      </c>
      <c r="I35" s="41" t="str">
        <f>IFERROR(__xludf.DUMMYFUNCTION("""COMPUTED_VALUE"""),"Mythril Ore: 2
Royal Ruby: 2
Finessence: 2")</f>
        <v>Mythril Ore: 2
Royal Ruby: 2
Finessence: 2</v>
      </c>
    </row>
    <row r="36">
      <c r="A36" s="42" t="str">
        <f>IFERROR(__xludf.DUMMYFUNCTION("""COMPUTED_VALUE"""),"Brainy Bracer")</f>
        <v>Brainy Bracer</v>
      </c>
      <c r="B36" s="30" t="str">
        <f>IFERROR(__xludf.DUMMYFUNCTION("""COMPUTED_VALUE"""),"Magic Might
Magic Mend")</f>
        <v>Magic Might
Magic Mend</v>
      </c>
      <c r="C36" s="30" t="str">
        <f>IFERROR(__xludf.DUMMYFUNCTION("""COMPUTED_VALUE"""),"20
20")</f>
        <v>20
20</v>
      </c>
      <c r="D36" s="30" t="str">
        <f>IFERROR(__xludf.DUMMYFUNCTION("""COMPUTED_VALUE"""),"21
21")</f>
        <v>21
21</v>
      </c>
      <c r="E36" s="30" t="str">
        <f>IFERROR(__xludf.DUMMYFUNCTION("""COMPUTED_VALUE"""),"22
22")</f>
        <v>22
22</v>
      </c>
      <c r="F36" s="30" t="str">
        <f>IFERROR(__xludf.DUMMYFUNCTION("""COMPUTED_VALUE"""),"24
24")</f>
        <v>24
24</v>
      </c>
      <c r="G36" s="30" t="str">
        <f>IFERROR(__xludf.DUMMYFUNCTION("""COMPUTED_VALUE"""),"--")</f>
        <v>--</v>
      </c>
      <c r="H36" s="42" t="str">
        <f>IFERROR(__xludf.DUMMYFUNCTION("""COMPUTED_VALUE"""),"Recipe: Brace Yourself")</f>
        <v>Recipe: Brace Yourself</v>
      </c>
      <c r="I36" s="42" t="str">
        <f>IFERROR(__xludf.DUMMYFUNCTION("""COMPUTED_VALUE"""),"Platinum Ore: 2
Savvy Sapphire: 2
Ethereal Stone: 1
Royal Soil: 1")</f>
        <v>Platinum Ore: 2
Savvy Sapphire: 2
Ethereal Stone: 1
Royal Soil: 1</v>
      </c>
    </row>
    <row r="37">
      <c r="A37" s="41" t="str">
        <f>IFERROR(__xludf.DUMMYFUNCTION("""COMPUTED_VALUE"""),"Spirit Bracer")</f>
        <v>Spirit Bracer</v>
      </c>
      <c r="B37" s="31" t="str">
        <f>IFERROR(__xludf.DUMMYFUNCTION("""COMPUTED_VALUE"""),"Defence
Max MP")</f>
        <v>Defence
Max MP</v>
      </c>
      <c r="C37" s="31" t="str">
        <f>IFERROR(__xludf.DUMMYFUNCTION("""COMPUTED_VALUE"""),"7
30")</f>
        <v>7
30</v>
      </c>
      <c r="D37" s="31" t="str">
        <f>IFERROR(__xludf.DUMMYFUNCTION("""COMPUTED_VALUE"""),"8
33")</f>
        <v>8
33</v>
      </c>
      <c r="E37" s="31" t="str">
        <f>IFERROR(__xludf.DUMMYFUNCTION("""COMPUTED_VALUE"""),"9
36")</f>
        <v>9
36</v>
      </c>
      <c r="F37" s="31" t="str">
        <f>IFERROR(__xludf.DUMMYFUNCTION("""COMPUTED_VALUE"""),"10
40")</f>
        <v>10
40</v>
      </c>
      <c r="G37" s="31" t="str">
        <f>IFERROR(__xludf.DUMMYFUNCTION("""COMPUTED_VALUE"""),"--")</f>
        <v>--</v>
      </c>
      <c r="H37" s="41" t="str">
        <f>IFERROR(__xludf.DUMMYFUNCTION("""COMPUTED_VALUE"""),"Recipe: Brace Yourself
Rare: Leviathing (Rarefied)")</f>
        <v>Recipe: Brace Yourself
Rare: Leviathing (Rarefied)</v>
      </c>
      <c r="I37" s="41" t="str">
        <f>IFERROR(__xludf.DUMMYFUNCTION("""COMPUTED_VALUE"""),"Mythril Ore: 2
Savvy Sapphire: 2
Magic Water: 2
Faerie Fluff: 2")</f>
        <v>Mythril Ore: 2
Savvy Sapphire: 2
Magic Water: 2
Faerie Fluff: 2</v>
      </c>
    </row>
    <row r="38">
      <c r="A38" s="42" t="str">
        <f>IFERROR(__xludf.DUMMYFUNCTION("""COMPUTED_VALUE"""),"Wristorative")</f>
        <v>Wristorative</v>
      </c>
      <c r="B38" s="30" t="str">
        <f>IFERROR(__xludf.DUMMYFUNCTION("""COMPUTED_VALUE"""),"Defence")</f>
        <v>Defence</v>
      </c>
      <c r="C38" s="30">
        <f>IFERROR(__xludf.DUMMYFUNCTION("""COMPUTED_VALUE"""),7.0)</f>
        <v>7</v>
      </c>
      <c r="D38" s="30">
        <f>IFERROR(__xludf.DUMMYFUNCTION("""COMPUTED_VALUE"""),8.0)</f>
        <v>8</v>
      </c>
      <c r="E38" s="30">
        <f>IFERROR(__xludf.DUMMYFUNCTION("""COMPUTED_VALUE"""),9.0)</f>
        <v>9</v>
      </c>
      <c r="F38" s="30">
        <f>IFERROR(__xludf.DUMMYFUNCTION("""COMPUTED_VALUE"""),10.0)</f>
        <v>10</v>
      </c>
      <c r="G38" s="30" t="str">
        <f>IFERROR(__xludf.DUMMYFUNCTION("""COMPUTED_VALUE"""),"HP/Turn (10/15/20/25)")</f>
        <v>HP/Turn (10/15/20/25)</v>
      </c>
      <c r="H38" s="42" t="str">
        <f>IFERROR(__xludf.DUMMYFUNCTION("""COMPUTED_VALUE"""),"Magic Key: Cobblestone
Recipe: Brace Yourself")</f>
        <v>Magic Key: Cobblestone
Recipe: Brace Yourself</v>
      </c>
      <c r="I38" s="42" t="str">
        <f>IFERROR(__xludf.DUMMYFUNCTION("""COMPUTED_VALUE"""),"Gold Nuglet: 2
Dracolyte: 2
Superior Medicine: 3")</f>
        <v>Gold Nuglet: 2
Dracolyte: 2
Superior Medicine: 3</v>
      </c>
    </row>
    <row r="39">
      <c r="A39" s="41" t="str">
        <f>IFERROR(__xludf.DUMMYFUNCTION("""COMPUTED_VALUE"""),"Meteorite Bracer")</f>
        <v>Meteorite Bracer</v>
      </c>
      <c r="B39" s="31" t="str">
        <f>IFERROR(__xludf.DUMMYFUNCTION("""COMPUTED_VALUE"""),"Agility")</f>
        <v>Agility</v>
      </c>
      <c r="C39" s="31">
        <f>IFERROR(__xludf.DUMMYFUNCTION("""COMPUTED_VALUE"""),100.0)</f>
        <v>100</v>
      </c>
      <c r="D39" s="31">
        <f>IFERROR(__xludf.DUMMYFUNCTION("""COMPUTED_VALUE"""),125.0)</f>
        <v>125</v>
      </c>
      <c r="E39" s="31">
        <f>IFERROR(__xludf.DUMMYFUNCTION("""COMPUTED_VALUE"""),150.0)</f>
        <v>150</v>
      </c>
      <c r="F39" s="31">
        <f>IFERROR(__xludf.DUMMYFUNCTION("""COMPUTED_VALUE"""),200.0)</f>
        <v>200</v>
      </c>
      <c r="G39" s="31" t="str">
        <f>IFERROR(__xludf.DUMMYFUNCTION("""COMPUTED_VALUE"""),"--")</f>
        <v>--</v>
      </c>
      <c r="H39" s="41" t="str">
        <f>IFERROR(__xludf.DUMMYFUNCTION("""COMPUTED_VALUE"""),"Chest: Final Dungeon
Recipe: Orichalcum: Ore Blimey
Rare: Godsteed")</f>
        <v>Chest: Final Dungeon
Recipe: Orichalcum: Ore Blimey
Rare: Godsteed</v>
      </c>
      <c r="I39" s="41" t="str">
        <f>IFERROR(__xludf.DUMMYFUNCTION("""COMPUTED_VALUE"""),"Lucida Shard: 3
Orichalcum: 1
Slipweed: 3
Savvy Sapphire: 4
Gold Bar: 1")</f>
        <v>Lucida Shard: 3
Orichalcum: 1
Slipweed: 3
Savvy Sapphire: 4
Gold Bar: 1</v>
      </c>
    </row>
    <row r="40">
      <c r="A40" s="40" t="str">
        <f>IFERROR(__xludf.DUMMYFUNCTION("""COMPUTED_VALUE"""),"Gloves")</f>
        <v>Gloves</v>
      </c>
      <c r="B40" s="7"/>
      <c r="C40" s="7"/>
      <c r="D40" s="7"/>
      <c r="E40" s="7"/>
      <c r="F40" s="7"/>
      <c r="G40" s="7"/>
      <c r="H40" s="7"/>
      <c r="I40" s="8"/>
    </row>
    <row r="41">
      <c r="A41" s="41" t="str">
        <f>IFERROR(__xludf.DUMMYFUNCTION("""COMPUTED_VALUE"""),"Robber Gloves")</f>
        <v>Robber Gloves</v>
      </c>
      <c r="B41" s="31" t="str">
        <f>IFERROR(__xludf.DUMMYFUNCTION("""COMPUTED_VALUE"""),"Defence
Deftness")</f>
        <v>Defence
Deftness</v>
      </c>
      <c r="C41" s="31" t="str">
        <f>IFERROR(__xludf.DUMMYFUNCTION("""COMPUTED_VALUE"""),"3
12")</f>
        <v>3
12</v>
      </c>
      <c r="D41" s="31" t="str">
        <f>IFERROR(__xludf.DUMMYFUNCTION("""COMPUTED_VALUE"""),"3
13")</f>
        <v>3
13</v>
      </c>
      <c r="E41" s="31" t="str">
        <f>IFERROR(__xludf.DUMMYFUNCTION("""COMPUTED_VALUE"""),"3
14")</f>
        <v>3
14</v>
      </c>
      <c r="F41" s="31" t="str">
        <f>IFERROR(__xludf.DUMMYFUNCTION("""COMPUTED_VALUE"""),"3
15")</f>
        <v>3
15</v>
      </c>
      <c r="G41" s="31" t="str">
        <f>IFERROR(__xludf.DUMMYFUNCTION("""COMPUTED_VALUE"""),"Chance of Successfully Stealing (2/3/4/5%)")</f>
        <v>Chance of Successfully Stealing (2/3/4/5%)</v>
      </c>
      <c r="H41" s="41" t="str">
        <f>IFERROR(__xludf.DUMMYFUNCTION("""COMPUTED_VALUE"""),"Chest: Cryptic Crypts
Recipe: Knick-Knacks for Nifty Nickers
Rare: Robber Rabbit")</f>
        <v>Chest: Cryptic Crypts
Recipe: Knick-Knacks for Nifty Nickers
Rare: Robber Rabbit</v>
      </c>
      <c r="I41" s="41" t="str">
        <f>IFERROR(__xludf.DUMMYFUNCTION("""COMPUTED_VALUE"""),"Magic Beast Hide: 2
Slipweed: 1
Kitty Litter: 1")</f>
        <v>Magic Beast Hide: 2
Slipweed: 1
Kitty Litter: 1</v>
      </c>
    </row>
    <row r="42">
      <c r="A42" s="42" t="str">
        <f>IFERROR(__xludf.DUMMYFUNCTION("""COMPUTED_VALUE"""),"Enchantress's Gloves")</f>
        <v>Enchantress's Gloves</v>
      </c>
      <c r="B42" s="30" t="str">
        <f>IFERROR(__xludf.DUMMYFUNCTION("""COMPUTED_VALUE"""),"Magic Might
Deftness")</f>
        <v>Magic Might
Deftness</v>
      </c>
      <c r="C42" s="30" t="str">
        <f>IFERROR(__xludf.DUMMYFUNCTION("""COMPUTED_VALUE"""),"7
15")</f>
        <v>7
15</v>
      </c>
      <c r="D42" s="30" t="str">
        <f>IFERROR(__xludf.DUMMYFUNCTION("""COMPUTED_VALUE"""),"8
16")</f>
        <v>8
16</v>
      </c>
      <c r="E42" s="30" t="str">
        <f>IFERROR(__xludf.DUMMYFUNCTION("""COMPUTED_VALUE"""),"9
18")</f>
        <v>9
18</v>
      </c>
      <c r="F42" s="30" t="str">
        <f>IFERROR(__xludf.DUMMYFUNCTION("""COMPUTED_VALUE"""),"10
20")</f>
        <v>10
20</v>
      </c>
      <c r="G42" s="30" t="str">
        <f>IFERROR(__xludf.DUMMYFUNCTION("""COMPUTED_VALUE"""),"--")</f>
        <v>--</v>
      </c>
      <c r="H42" s="42" t="str">
        <f>IFERROR(__xludf.DUMMYFUNCTION("""COMPUTED_VALUE"""),"Recipe: So You Want to Be a Witch")</f>
        <v>Recipe: So You Want to Be a Witch</v>
      </c>
      <c r="I42" s="42" t="str">
        <f>IFERROR(__xludf.DUMMYFUNCTION("""COMPUTED_VALUE"""),"Cottontop: 2
Duneberry: 1
Butterfly Wing: 1")</f>
        <v>Cottontop: 2
Duneberry: 1
Butterfly Wing: 1</v>
      </c>
    </row>
    <row r="43">
      <c r="A43" s="41" t="str">
        <f>IFERROR(__xludf.DUMMYFUNCTION("""COMPUTED_VALUE"""),"Brigand's Mitts")</f>
        <v>Brigand's Mitts</v>
      </c>
      <c r="B43" s="31" t="str">
        <f>IFERROR(__xludf.DUMMYFUNCTION("""COMPUTED_VALUE"""),"Defence
Deftness")</f>
        <v>Defence
Deftness</v>
      </c>
      <c r="C43" s="31" t="str">
        <f>IFERROR(__xludf.DUMMYFUNCTION("""COMPUTED_VALUE"""),"6
32")</f>
        <v>6
32</v>
      </c>
      <c r="D43" s="31" t="str">
        <f>IFERROR(__xludf.DUMMYFUNCTION("""COMPUTED_VALUE"""),"7
33")</f>
        <v>7
33</v>
      </c>
      <c r="E43" s="31" t="str">
        <f>IFERROR(__xludf.DUMMYFUNCTION("""COMPUTED_VALUE"""),"8
34")</f>
        <v>8
34</v>
      </c>
      <c r="F43" s="31" t="str">
        <f>IFERROR(__xludf.DUMMYFUNCTION("""COMPUTED_VALUE"""),"9
39")</f>
        <v>9
39</v>
      </c>
      <c r="G43" s="31" t="str">
        <f>IFERROR(__xludf.DUMMYFUNCTION("""COMPUTED_VALUE"""),"--")</f>
        <v>--</v>
      </c>
      <c r="H43" s="41" t="str">
        <f>IFERROR(__xludf.DUMMYFUNCTION("""COMPUTED_VALUE"""),"Recipe: An Encyclopaedia of Expert Equipment")</f>
        <v>Recipe: An Encyclopaedia of Expert Equipment</v>
      </c>
      <c r="I43" s="41" t="str">
        <f>IFERROR(__xludf.DUMMYFUNCTION("""COMPUTED_VALUE"""),"Magic Beast Hide: 2
Lambswool: 1
Big Bone: 1")</f>
        <v>Magic Beast Hide: 2
Lambswool: 1
Big Bone: 1</v>
      </c>
    </row>
    <row r="44">
      <c r="A44" s="42" t="str">
        <f>IFERROR(__xludf.DUMMYFUNCTION("""COMPUTED_VALUE"""),"Guru's Gloves")</f>
        <v>Guru's Gloves</v>
      </c>
      <c r="B44" s="30" t="str">
        <f>IFERROR(__xludf.DUMMYFUNCTION("""COMPUTED_VALUE"""),"Magic Might
Magic Mend
Deftness")</f>
        <v>Magic Might
Magic Mend
Deftness</v>
      </c>
      <c r="C44" s="30" t="str">
        <f>IFERROR(__xludf.DUMMYFUNCTION("""COMPUTED_VALUE"""),"17
17
40")</f>
        <v>17
17
40</v>
      </c>
      <c r="D44" s="30" t="str">
        <f>IFERROR(__xludf.DUMMYFUNCTION("""COMPUTED_VALUE"""),"18
18
41")</f>
        <v>18
18
41</v>
      </c>
      <c r="E44" s="30" t="str">
        <f>IFERROR(__xludf.DUMMYFUNCTION("""COMPUTED_VALUE"""),"19
19
43")</f>
        <v>19
19
43</v>
      </c>
      <c r="F44" s="30" t="str">
        <f>IFERROR(__xludf.DUMMYFUNCTION("""COMPUTED_VALUE"""),"20
20
45")</f>
        <v>20
20
45</v>
      </c>
      <c r="G44" s="30" t="str">
        <f>IFERROR(__xludf.DUMMYFUNCTION("""COMPUTED_VALUE"""),"--")</f>
        <v>--</v>
      </c>
      <c r="H44" s="42" t="str">
        <f>IFERROR(__xludf.DUMMYFUNCTION("""COMPUTED_VALUE"""),"Recipe: Fine Fashions for Philosophers
Common: Evangelizard")</f>
        <v>Recipe: Fine Fashions for Philosophers
Common: Evangelizard</v>
      </c>
      <c r="I44" s="42" t="str">
        <f>IFERROR(__xludf.DUMMYFUNCTION("""COMPUTED_VALUE"""),"Dragon Hide: 2
Thinkincense: 1
Sage's Elixir: 1")</f>
        <v>Dragon Hide: 2
Thinkincense: 1
Sage's Elixir: 1</v>
      </c>
    </row>
    <row r="45">
      <c r="A45" s="41" t="str">
        <f>IFERROR(__xludf.DUMMYFUNCTION("""COMPUTED_VALUE"""),"Freebooter's Gloves")</f>
        <v>Freebooter's Gloves</v>
      </c>
      <c r="B45" s="31" t="str">
        <f>IFERROR(__xludf.DUMMYFUNCTION("""COMPUTED_VALUE"""),"Deftness")</f>
        <v>Deftness</v>
      </c>
      <c r="C45" s="31">
        <f>IFERROR(__xludf.DUMMYFUNCTION("""COMPUTED_VALUE"""),48.0)</f>
        <v>48</v>
      </c>
      <c r="D45" s="31">
        <f>IFERROR(__xludf.DUMMYFUNCTION("""COMPUTED_VALUE"""),50.0)</f>
        <v>50</v>
      </c>
      <c r="E45" s="31">
        <f>IFERROR(__xludf.DUMMYFUNCTION("""COMPUTED_VALUE"""),53.0)</f>
        <v>53</v>
      </c>
      <c r="F45" s="31">
        <f>IFERROR(__xludf.DUMMYFUNCTION("""COMPUTED_VALUE"""),56.0)</f>
        <v>56</v>
      </c>
      <c r="G45" s="31" t="str">
        <f>IFERROR(__xludf.DUMMYFUNCTION("""COMPUTED_VALUE"""),"--")</f>
        <v>--</v>
      </c>
      <c r="H45" s="41" t="str">
        <f>IFERROR(__xludf.DUMMYFUNCTION("""COMPUTED_VALUE"""),"Cobblestone: 5000")</f>
        <v>Cobblestone: 5000</v>
      </c>
      <c r="I45" s="41"/>
    </row>
    <row r="46">
      <c r="A46" s="42" t="str">
        <f>IFERROR(__xludf.DUMMYFUNCTION("""COMPUTED_VALUE"""),"Minister's Mitts")</f>
        <v>Minister's Mitts</v>
      </c>
      <c r="B46" s="68" t="str">
        <f>IFERROR(__xludf.DUMMYFUNCTION("""COMPUTED_VALUE"""),"Magic Mend
Deftness")</f>
        <v>Magic Mend
Deftness</v>
      </c>
      <c r="C46" s="30" t="str">
        <f>IFERROR(__xludf.DUMMYFUNCTION("""COMPUTED_VALUE"""),"20
48")</f>
        <v>20
48</v>
      </c>
      <c r="D46" s="30" t="str">
        <f>IFERROR(__xludf.DUMMYFUNCTION("""COMPUTED_VALUE"""),"21
50")</f>
        <v>21
50</v>
      </c>
      <c r="E46" s="30" t="str">
        <f>IFERROR(__xludf.DUMMYFUNCTION("""COMPUTED_VALUE"""),"22
53")</f>
        <v>22
53</v>
      </c>
      <c r="F46" s="30" t="str">
        <f>IFERROR(__xludf.DUMMYFUNCTION("""COMPUTED_VALUE"""),"24
56")</f>
        <v>24
56</v>
      </c>
      <c r="G46" s="30" t="str">
        <f>IFERROR(__xludf.DUMMYFUNCTION("""COMPUTED_VALUE"""),"--")</f>
        <v>--</v>
      </c>
      <c r="H46" s="42" t="str">
        <f>IFERROR(__xludf.DUMMYFUNCTION("""COMPUTED_VALUE"""),"Recipe: Sage Advice")</f>
        <v>Recipe: Sage Advice</v>
      </c>
      <c r="I46" s="42" t="str">
        <f>IFERROR(__xludf.DUMMYFUNCTION("""COMPUTED_VALUE"""),"Thinkincense: 3
Serpent Skin: 2
Sage's Elixir: 1
Fine Fur: 2")</f>
        <v>Thinkincense: 3
Serpent Skin: 2
Sage's Elixir: 1
Fine Fur: 2</v>
      </c>
    </row>
    <row r="47">
      <c r="A47" s="41" t="str">
        <f>IFERROR(__xludf.DUMMYFUNCTION("""COMPUTED_VALUE"""),"Gloomy Gloves")</f>
        <v>Gloomy Gloves</v>
      </c>
      <c r="B47" s="31" t="str">
        <f>IFERROR(__xludf.DUMMYFUNCTION("""COMPUTED_VALUE"""),"Deftness")</f>
        <v>Deftness</v>
      </c>
      <c r="C47" s="31">
        <f>IFERROR(__xludf.DUMMYFUNCTION("""COMPUTED_VALUE"""),22.0)</f>
        <v>22</v>
      </c>
      <c r="D47" s="31">
        <f>IFERROR(__xludf.DUMMYFUNCTION("""COMPUTED_VALUE"""),23.0)</f>
        <v>23</v>
      </c>
      <c r="E47" s="31">
        <f>IFERROR(__xludf.DUMMYFUNCTION("""COMPUTED_VALUE"""),24.0)</f>
        <v>24</v>
      </c>
      <c r="F47" s="31">
        <f>IFERROR(__xludf.DUMMYFUNCTION("""COMPUTED_VALUE"""),25.0)</f>
        <v>25</v>
      </c>
      <c r="G47" s="31" t="str">
        <f>IFERROR(__xludf.DUMMYFUNCTION("""COMPUTED_VALUE"""),"Dark Damage Reduction (5/5/10/15%)")</f>
        <v>Dark Damage Reduction (5/5/10/15%)</v>
      </c>
      <c r="H47" s="41" t="str">
        <f>IFERROR(__xludf.DUMMYFUNCTION("""COMPUTED_VALUE"""),"Recipe: Knick-Knacks for Nifty Nickers")</f>
        <v>Recipe: Knick-Knacks for Nifty Nickers</v>
      </c>
      <c r="I47" s="41" t="str">
        <f>IFERROR(__xludf.DUMMYFUNCTION("""COMPUTED_VALUE"""),"Magic Beast: Hide: 1
Evencloth: 1")</f>
        <v>Magic Beast: Hide: 1
Evencloth: 1</v>
      </c>
    </row>
    <row r="48">
      <c r="A48" s="42" t="str">
        <f>IFERROR(__xludf.DUMMYFUNCTION("""COMPUTED_VALUE"""),"Murky Mittens")</f>
        <v>Murky Mittens</v>
      </c>
      <c r="B48" s="30" t="str">
        <f>IFERROR(__xludf.DUMMYFUNCTION("""COMPUTED_VALUE"""),"Deftness")</f>
        <v>Deftness</v>
      </c>
      <c r="C48" s="30">
        <f>IFERROR(__xludf.DUMMYFUNCTION("""COMPUTED_VALUE"""),32.0)</f>
        <v>32</v>
      </c>
      <c r="D48" s="30">
        <f>IFERROR(__xludf.DUMMYFUNCTION("""COMPUTED_VALUE"""),33.0)</f>
        <v>33</v>
      </c>
      <c r="E48" s="30">
        <f>IFERROR(__xludf.DUMMYFUNCTION("""COMPUTED_VALUE"""),34.0)</f>
        <v>34</v>
      </c>
      <c r="F48" s="30">
        <f>IFERROR(__xludf.DUMMYFUNCTION("""COMPUTED_VALUE"""),39.0)</f>
        <v>39</v>
      </c>
      <c r="G48" s="30" t="str">
        <f>IFERROR(__xludf.DUMMYFUNCTION("""COMPUTED_VALUE"""),"Dark Damage Reduction (15/15/20/25%)")</f>
        <v>Dark Damage Reduction (15/15/20/25%)</v>
      </c>
      <c r="H48" s="42" t="str">
        <f>IFERROR(__xludf.DUMMYFUNCTION("""COMPUTED_VALUE"""),"Recipe: The Fandom of the Opera")</f>
        <v>Recipe: The Fandom of the Opera</v>
      </c>
      <c r="I48" s="42" t="str">
        <f>IFERROR(__xludf.DUMMYFUNCTION("""COMPUTED_VALUE"""),"Magic Beast: Hide: 2
Evencloth: 3
Sunny Citrine: 1
Night Stick: 3
Softwort: 1")</f>
        <v>Magic Beast: Hide: 2
Evencloth: 3
Sunny Citrine: 1
Night Stick: 3
Softwort: 1</v>
      </c>
    </row>
    <row r="49">
      <c r="A49" s="41" t="str">
        <f>IFERROR(__xludf.DUMMYFUNCTION("""COMPUTED_VALUE"""),"Mayoress's Mittens")</f>
        <v>Mayoress's Mittens</v>
      </c>
      <c r="B49" s="31" t="str">
        <f>IFERROR(__xludf.DUMMYFUNCTION("""COMPUTED_VALUE"""),"Deftness
Charm")</f>
        <v>Deftness
Charm</v>
      </c>
      <c r="C49" s="31" t="str">
        <f>IFERROR(__xludf.DUMMYFUNCTION("""COMPUTED_VALUE"""),"20
12")</f>
        <v>20
12</v>
      </c>
      <c r="D49" s="31" t="str">
        <f>IFERROR(__xludf.DUMMYFUNCTION("""COMPUTED_VALUE"""),"21
13")</f>
        <v>21
13</v>
      </c>
      <c r="E49" s="31" t="str">
        <f>IFERROR(__xludf.DUMMYFUNCTION("""COMPUTED_VALUE"""),"22
14")</f>
        <v>22
14</v>
      </c>
      <c r="F49" s="31" t="str">
        <f>IFERROR(__xludf.DUMMYFUNCTION("""COMPUTED_VALUE"""),"23
15")</f>
        <v>23
15</v>
      </c>
      <c r="G49" s="31" t="str">
        <f>IFERROR(__xludf.DUMMYFUNCTION("""COMPUTED_VALUE"""),"Bedazzlement Protection (5/10/15/20%)
Confusion Protection (5/10/15/20%)")</f>
        <v>Bedazzlement Protection (5/10/15/20%)
Confusion Protection (5/10/15/20%)</v>
      </c>
      <c r="H49" s="41" t="str">
        <f>IFERROR(__xludf.DUMMYFUNCTION("""COMPUTED_VALUE"""),"Puerto Valor: 1900")</f>
        <v>Puerto Valor: 1900</v>
      </c>
      <c r="I49" s="41"/>
    </row>
    <row r="50">
      <c r="A50" s="42" t="str">
        <f>IFERROR(__xludf.DUMMYFUNCTION("""COMPUTED_VALUE"""),"Marquess's Mittens")</f>
        <v>Marquess's Mittens</v>
      </c>
      <c r="B50" s="30" t="str">
        <f>IFERROR(__xludf.DUMMYFUNCTION("""COMPUTED_VALUE"""),"Deftness
Charm")</f>
        <v>Deftness
Charm</v>
      </c>
      <c r="C50" s="30" t="str">
        <f>IFERROR(__xludf.DUMMYFUNCTION("""COMPUTED_VALUE"""),"44
24")</f>
        <v>44
24</v>
      </c>
      <c r="D50" s="30" t="str">
        <f>IFERROR(__xludf.DUMMYFUNCTION("""COMPUTED_VALUE"""),"46
25")</f>
        <v>46
25</v>
      </c>
      <c r="E50" s="30" t="str">
        <f>IFERROR(__xludf.DUMMYFUNCTION("""COMPUTED_VALUE"""),"49
26")</f>
        <v>49
26</v>
      </c>
      <c r="F50" s="30" t="str">
        <f>IFERROR(__xludf.DUMMYFUNCTION("""COMPUTED_VALUE"""),"52
28")</f>
        <v>52
28</v>
      </c>
      <c r="G50" s="30" t="str">
        <f>IFERROR(__xludf.DUMMYFUNCTION("""COMPUTED_VALUE"""),"Bedazzlement Protection (25/30/35/40%)
Confusion Protection (25/30/35/40%)")</f>
        <v>Bedazzlement Protection (25/30/35/40%)
Confusion Protection (25/30/35/40%)</v>
      </c>
      <c r="H50" s="42" t="str">
        <f>IFERROR(__xludf.DUMMYFUNCTION("""COMPUTED_VALUE"""),"Cabinet: Heliodor Castle - Queen's Bedchamber
Rare: Platinum Poppet (Rarefied)")</f>
        <v>Cabinet: Heliodor Castle - Queen's Bedchamber
Rare: Platinum Poppet (Rarefied)</v>
      </c>
      <c r="I50" s="45"/>
    </row>
    <row r="51">
      <c r="A51" s="41" t="str">
        <f>IFERROR(__xludf.DUMMYFUNCTION("""COMPUTED_VALUE"""),"Monarch's Mittens")</f>
        <v>Monarch's Mittens</v>
      </c>
      <c r="B51" s="31" t="str">
        <f>IFERROR(__xludf.DUMMYFUNCTION("""COMPUTED_VALUE"""),"Deftness
Charm")</f>
        <v>Deftness
Charm</v>
      </c>
      <c r="C51" s="31" t="str">
        <f>IFERROR(__xludf.DUMMYFUNCTION("""COMPUTED_VALUE"""),"60
44")</f>
        <v>60
44</v>
      </c>
      <c r="D51" s="31" t="str">
        <f>IFERROR(__xludf.DUMMYFUNCTION("""COMPUTED_VALUE"""),"65
45")</f>
        <v>65
45</v>
      </c>
      <c r="E51" s="31" t="str">
        <f>IFERROR(__xludf.DUMMYFUNCTION("""COMPUTED_VALUE"""),"70
46")</f>
        <v>70
46</v>
      </c>
      <c r="F51" s="31" t="str">
        <f>IFERROR(__xludf.DUMMYFUNCTION("""COMPUTED_VALUE"""),"80
47")</f>
        <v>80
47</v>
      </c>
      <c r="G51" s="31" t="str">
        <f>IFERROR(__xludf.DUMMYFUNCTION("""COMPUTED_VALUE"""),"Bedazzlement Protection (45/50/55/60%)
Confusion Protection (45/50/55/60%)")</f>
        <v>Bedazzlement Protection (45/50/55/60%)
Confusion Protection (45/50/55/60%)</v>
      </c>
      <c r="H51" s="41" t="str">
        <f>IFERROR(__xludf.DUMMYFUNCTION("""COMPUTED_VALUE"""),"Recipe: Upper-Class Accesories")</f>
        <v>Recipe: Upper-Class Accesories</v>
      </c>
      <c r="I51" s="41" t="str">
        <f>IFERROR(__xludf.DUMMYFUNCTION("""COMPUTED_VALUE"""),"Silkblossom: 3
Narspicious: 2
Lambswool: 2
Pale Pearl: 2
Sainted Soma: 1")</f>
        <v>Silkblossom: 3
Narspicious: 2
Lambswool: 2
Pale Pearl: 2
Sainted Soma: 1</v>
      </c>
    </row>
    <row r="52">
      <c r="A52" s="40" t="str">
        <f>IFERROR(__xludf.DUMMYFUNCTION("""COMPUTED_VALUE"""),"Rings")</f>
        <v>Rings</v>
      </c>
      <c r="B52" s="7"/>
      <c r="C52" s="7"/>
      <c r="D52" s="7"/>
      <c r="E52" s="7"/>
      <c r="F52" s="7"/>
      <c r="G52" s="7"/>
      <c r="H52" s="7"/>
      <c r="I52" s="8"/>
    </row>
    <row r="53">
      <c r="A53" s="41" t="str">
        <f>IFERROR(__xludf.DUMMYFUNCTION("""COMPUTED_VALUE"""),"Gold Ring")</f>
        <v>Gold Ring</v>
      </c>
      <c r="B53" s="31" t="str">
        <f>IFERROR(__xludf.DUMMYFUNCTION("""COMPUTED_VALUE"""),"Defence
Charm")</f>
        <v>Defence
Charm</v>
      </c>
      <c r="C53" s="31" t="str">
        <f>IFERROR(__xludf.DUMMYFUNCTION("""COMPUTED_VALUE"""),"5
8")</f>
        <v>5
8</v>
      </c>
      <c r="D53" s="31" t="str">
        <f>IFERROR(__xludf.DUMMYFUNCTION("""COMPUTED_VALUE"""),"6
9")</f>
        <v>6
9</v>
      </c>
      <c r="E53" s="31" t="str">
        <f>IFERROR(__xludf.DUMMYFUNCTION("""COMPUTED_VALUE"""),"8
10")</f>
        <v>8
10</v>
      </c>
      <c r="F53" s="31" t="str">
        <f>IFERROR(__xludf.DUMMYFUNCTION("""COMPUTED_VALUE"""),"10
12")</f>
        <v>10
12</v>
      </c>
      <c r="G53" s="31" t="str">
        <f>IFERROR(__xludf.DUMMYFUNCTION("""COMPUTED_VALUE"""),"--")</f>
        <v>--</v>
      </c>
      <c r="H53" s="41" t="str">
        <f>IFERROR(__xludf.DUMMYFUNCTION("""COMPUTED_VALUE"""),"Recipe: Twenty-Four Carats of Class
Rare: Drackyma")</f>
        <v>Recipe: Twenty-Four Carats of Class
Rare: Drackyma</v>
      </c>
      <c r="I53" s="41" t="str">
        <f>IFERROR(__xludf.DUMMYFUNCTION("""COMPUTED_VALUE"""),"Gold Ore: 2")</f>
        <v>Gold Ore: 2</v>
      </c>
    </row>
    <row r="54">
      <c r="A54" s="42" t="str">
        <f>IFERROR(__xludf.DUMMYFUNCTION("""COMPUTED_VALUE"""),"Strength Ring")</f>
        <v>Strength Ring</v>
      </c>
      <c r="B54" s="30" t="str">
        <f>IFERROR(__xludf.DUMMYFUNCTION("""COMPUTED_VALUE"""),"Attack")</f>
        <v>Attack</v>
      </c>
      <c r="C54" s="30">
        <f>IFERROR(__xludf.DUMMYFUNCTION("""COMPUTED_VALUE"""),5.0)</f>
        <v>5</v>
      </c>
      <c r="D54" s="30">
        <f>IFERROR(__xludf.DUMMYFUNCTION("""COMPUTED_VALUE"""),6.0)</f>
        <v>6</v>
      </c>
      <c r="E54" s="30">
        <f>IFERROR(__xludf.DUMMYFUNCTION("""COMPUTED_VALUE"""),8.0)</f>
        <v>8</v>
      </c>
      <c r="F54" s="30">
        <f>IFERROR(__xludf.DUMMYFUNCTION("""COMPUTED_VALUE"""),10.0)</f>
        <v>10</v>
      </c>
      <c r="G54" s="30" t="str">
        <f>IFERROR(__xludf.DUMMYFUNCTION("""COMPUTED_VALUE"""),"--")</f>
        <v>--</v>
      </c>
      <c r="H54" s="42" t="str">
        <f>IFERROR(__xludf.DUMMYFUNCTION("""COMPUTED_VALUE"""),"Recipe: Rings Around the World
Common: Gigantes, Rare: Muddy Hand, Boss Troll")</f>
        <v>Recipe: Rings Around the World
Common: Gigantes, Rare: Muddy Hand, Boss Troll</v>
      </c>
      <c r="I54" s="42" t="str">
        <f>IFERROR(__xludf.DUMMYFUNCTION("""COMPUTED_VALUE"""),"Gold Ore: 2
Red Eye: 1
Finessence: 1")</f>
        <v>Gold Ore: 2
Red Eye: 1
Finessence: 1</v>
      </c>
    </row>
    <row r="55">
      <c r="A55" s="41" t="str">
        <f>IFERROR(__xludf.DUMMYFUNCTION("""COMPUTED_VALUE"""),"Agility Ring")</f>
        <v>Agility Ring</v>
      </c>
      <c r="B55" s="31" t="str">
        <f>IFERROR(__xludf.DUMMYFUNCTION("""COMPUTED_VALUE"""),"Defence
Agility")</f>
        <v>Defence
Agility</v>
      </c>
      <c r="C55" s="31" t="str">
        <f>IFERROR(__xludf.DUMMYFUNCTION("""COMPUTED_VALUE"""),"5
17")</f>
        <v>5
17</v>
      </c>
      <c r="D55" s="31" t="str">
        <f>IFERROR(__xludf.DUMMYFUNCTION("""COMPUTED_VALUE"""),"6
18")</f>
        <v>6
18</v>
      </c>
      <c r="E55" s="31" t="str">
        <f>IFERROR(__xludf.DUMMYFUNCTION("""COMPUTED_VALUE"""),"8
20")</f>
        <v>8
20</v>
      </c>
      <c r="F55" s="31" t="str">
        <f>IFERROR(__xludf.DUMMYFUNCTION("""COMPUTED_VALUE"""),"10
22")</f>
        <v>10
22</v>
      </c>
      <c r="G55" s="31" t="str">
        <f>IFERROR(__xludf.DUMMYFUNCTION("""COMPUTED_VALUE"""),"--")</f>
        <v>--</v>
      </c>
      <c r="H55" s="41" t="str">
        <f>IFERROR(__xludf.DUMMYFUNCTION("""COMPUTED_VALUE"""),"Recipe: Rings Around the World
Rare: Cyclown")</f>
        <v>Recipe: Rings Around the World
Rare: Cyclown</v>
      </c>
      <c r="I55" s="41" t="str">
        <f>IFERROR(__xludf.DUMMYFUNCTION("""COMPUTED_VALUE"""),"Silver Ore: 1
Pink Pearl: 1")</f>
        <v>Silver Ore: 1
Pink Pearl: 1</v>
      </c>
    </row>
    <row r="56">
      <c r="A56" s="42" t="str">
        <f>IFERROR(__xludf.DUMMYFUNCTION("""COMPUTED_VALUE"""),"Prayer Ring")</f>
        <v>Prayer Ring</v>
      </c>
      <c r="B56" s="30" t="str">
        <f>IFERROR(__xludf.DUMMYFUNCTION("""COMPUTED_VALUE"""),"Defence
Charm")</f>
        <v>Defence
Charm</v>
      </c>
      <c r="C56" s="30" t="str">
        <f>IFERROR(__xludf.DUMMYFUNCTION("""COMPUTED_VALUE"""),"5
10")</f>
        <v>5
10</v>
      </c>
      <c r="D56" s="30" t="str">
        <f>IFERROR(__xludf.DUMMYFUNCTION("""COMPUTED_VALUE"""),"6
11")</f>
        <v>6
11</v>
      </c>
      <c r="E56" s="30" t="str">
        <f>IFERROR(__xludf.DUMMYFUNCTION("""COMPUTED_VALUE"""),"8
13")</f>
        <v>8
13</v>
      </c>
      <c r="F56" s="30" t="str">
        <f>IFERROR(__xludf.DUMMYFUNCTION("""COMPUTED_VALUE"""),"10
15")</f>
        <v>10
15</v>
      </c>
      <c r="G56" s="30" t="str">
        <f>IFERROR(__xludf.DUMMYFUNCTION("""COMPUTED_VALUE"""),"Restores MP when used, can break")</f>
        <v>Restores MP when used, can break</v>
      </c>
      <c r="H56" s="42" t="str">
        <f>IFERROR(__xludf.DUMMYFUNCTION("""COMPUTED_VALUE"""),"Recipe: Rings Around the World
Common: Abracadabrer, Rare: Hocus Chimaera")</f>
        <v>Recipe: Rings Around the World
Common: Abracadabrer, Rare: Hocus Chimaera</v>
      </c>
      <c r="I56" s="42" t="str">
        <f>IFERROR(__xludf.DUMMYFUNCTION("""COMPUTED_VALUE"""),"Gold Ore: 2
Blue Eye: 1
Magic Water: 1")</f>
        <v>Gold Ore: 2
Blue Eye: 1
Magic Water: 1</v>
      </c>
    </row>
    <row r="57">
      <c r="A57" s="41" t="str">
        <f>IFERROR(__xludf.DUMMYFUNCTION("""COMPUTED_VALUE"""),"Pink Pearl Ring")</f>
        <v>Pink Pearl Ring</v>
      </c>
      <c r="B57" s="31" t="str">
        <f>IFERROR(__xludf.DUMMYFUNCTION("""COMPUTED_VALUE"""),"Defence
Max MP
Charm")</f>
        <v>Defence
Max MP
Charm</v>
      </c>
      <c r="C57" s="31" t="str">
        <f>IFERROR(__xludf.DUMMYFUNCTION("""COMPUTED_VALUE"""),"5
10
10")</f>
        <v>5
10
10</v>
      </c>
      <c r="D57" s="31" t="str">
        <f>IFERROR(__xludf.DUMMYFUNCTION("""COMPUTED_VALUE"""),"6
11
11")</f>
        <v>6
11
11</v>
      </c>
      <c r="E57" s="31" t="str">
        <f>IFERROR(__xludf.DUMMYFUNCTION("""COMPUTED_VALUE"""),"8
13
13")</f>
        <v>8
13
13</v>
      </c>
      <c r="F57" s="31" t="str">
        <f>IFERROR(__xludf.DUMMYFUNCTION("""COMPUTED_VALUE"""),"10
15
15")</f>
        <v>10
15
15</v>
      </c>
      <c r="G57" s="31" t="str">
        <f>IFERROR(__xludf.DUMMYFUNCTION("""COMPUTED_VALUE"""),"--")</f>
        <v>--</v>
      </c>
      <c r="H57" s="41" t="str">
        <f>IFERROR(__xludf.DUMMYFUNCTION("""COMPUTED_VALUE"""),"Recipe: My First Pearly Pieces")</f>
        <v>Recipe: My First Pearly Pieces</v>
      </c>
      <c r="I57" s="41" t="str">
        <f>IFERROR(__xludf.DUMMYFUNCTION("""COMPUTED_VALUE"""),"Gold Ore: 2
Blue Eye: 1
Fresh Water: 1")</f>
        <v>Gold Ore: 2
Blue Eye: 1
Fresh Water: 1</v>
      </c>
    </row>
    <row r="58">
      <c r="A58" s="42" t="str">
        <f>IFERROR(__xludf.DUMMYFUNCTION("""COMPUTED_VALUE"""),"Care Ring")</f>
        <v>Care Ring</v>
      </c>
      <c r="B58" s="30" t="str">
        <f>IFERROR(__xludf.DUMMYFUNCTION("""COMPUTED_VALUE"""),"Defence")</f>
        <v>Defence</v>
      </c>
      <c r="C58" s="30">
        <f>IFERROR(__xludf.DUMMYFUNCTION("""COMPUTED_VALUE"""),5.0)</f>
        <v>5</v>
      </c>
      <c r="D58" s="30">
        <f>IFERROR(__xludf.DUMMYFUNCTION("""COMPUTED_VALUE"""),6.0)</f>
        <v>6</v>
      </c>
      <c r="E58" s="30">
        <f>IFERROR(__xludf.DUMMYFUNCTION("""COMPUTED_VALUE"""),8.0)</f>
        <v>8</v>
      </c>
      <c r="F58" s="30">
        <f>IFERROR(__xludf.DUMMYFUNCTION("""COMPUTED_VALUE"""),10.0)</f>
        <v>10</v>
      </c>
      <c r="G58" s="30" t="str">
        <f>IFERROR(__xludf.DUMMYFUNCTION("""COMPUTED_VALUE"""),"Spell-Sealing Protection (30/35/40/50%)
Ability-Sealing Protection (30/35/40/50%)")</f>
        <v>Spell-Sealing Protection (30/35/40/50%)
Ability-Sealing Protection (30/35/40/50%)</v>
      </c>
      <c r="H58" s="42" t="str">
        <f>IFERROR(__xludf.DUMMYFUNCTION("""COMPUTED_VALUE"""),"Recipe: Little Lifesavers")</f>
        <v>Recipe: Little Lifesavers</v>
      </c>
      <c r="I58" s="42" t="str">
        <f>IFERROR(__xludf.DUMMYFUNCTION("""COMPUTED_VALUE"""),"Silver Ore: 1
Red Eye: 1
Holy Water: 1")</f>
        <v>Silver Ore: 1
Red Eye: 1
Holy Water: 1</v>
      </c>
    </row>
    <row r="59">
      <c r="A59" s="41" t="str">
        <f>IFERROR(__xludf.DUMMYFUNCTION("""COMPUTED_VALUE"""),"Ring of Riddance")</f>
        <v>Ring of Riddance</v>
      </c>
      <c r="B59" s="31" t="str">
        <f>IFERROR(__xludf.DUMMYFUNCTION("""COMPUTED_VALUE"""),"Defence")</f>
        <v>Defence</v>
      </c>
      <c r="C59" s="31">
        <f>IFERROR(__xludf.DUMMYFUNCTION("""COMPUTED_VALUE"""),5.0)</f>
        <v>5</v>
      </c>
      <c r="D59" s="31">
        <f>IFERROR(__xludf.DUMMYFUNCTION("""COMPUTED_VALUE"""),6.0)</f>
        <v>6</v>
      </c>
      <c r="E59" s="31">
        <f>IFERROR(__xludf.DUMMYFUNCTION("""COMPUTED_VALUE"""),8.0)</f>
        <v>8</v>
      </c>
      <c r="F59" s="31">
        <f>IFERROR(__xludf.DUMMYFUNCTION("""COMPUTED_VALUE"""),10.0)</f>
        <v>10</v>
      </c>
      <c r="G59" s="31" t="str">
        <f>IFERROR(__xludf.DUMMYFUNCTION("""COMPUTED_VALUE"""),"Curse Protection (30/35/40/50%)")</f>
        <v>Curse Protection (30/35/40/50%)</v>
      </c>
      <c r="H59" s="41" t="str">
        <f>IFERROR(__xludf.DUMMYFUNCTION("""COMPUTED_VALUE"""),"Recipe: Little Lifesavers")</f>
        <v>Recipe: Little Lifesavers</v>
      </c>
      <c r="I59" s="41" t="str">
        <f>IFERROR(__xludf.DUMMYFUNCTION("""COMPUTED_VALUE"""),"Gold Ore: 2
Green Eye: 1
Flurry Feather: 1")</f>
        <v>Gold Ore: 2
Green Eye: 1
Flurry Feather: 1</v>
      </c>
    </row>
    <row r="60">
      <c r="A60" s="42" t="str">
        <f>IFERROR(__xludf.DUMMYFUNCTION("""COMPUTED_VALUE"""),"Life Ring")</f>
        <v>Life Ring</v>
      </c>
      <c r="B60" s="30" t="str">
        <f>IFERROR(__xludf.DUMMYFUNCTION("""COMPUTED_VALUE"""),"Defence
Max HP")</f>
        <v>Defence
Max HP</v>
      </c>
      <c r="C60" s="30" t="str">
        <f>IFERROR(__xludf.DUMMYFUNCTION("""COMPUTED_VALUE"""),"5
5")</f>
        <v>5
5</v>
      </c>
      <c r="D60" s="30" t="str">
        <f>IFERROR(__xludf.DUMMYFUNCTION("""COMPUTED_VALUE"""),"6
6")</f>
        <v>6
6</v>
      </c>
      <c r="E60" s="30" t="str">
        <f>IFERROR(__xludf.DUMMYFUNCTION("""COMPUTED_VALUE"""),"8
8")</f>
        <v>8
8</v>
      </c>
      <c r="F60" s="30" t="str">
        <f>IFERROR(__xludf.DUMMYFUNCTION("""COMPUTED_VALUE"""),"10
10")</f>
        <v>10
10</v>
      </c>
      <c r="G60" s="30" t="str">
        <f>IFERROR(__xludf.DUMMYFUNCTION("""COMPUTED_VALUE"""),"HP Regeneration When Moving (1/1/2/3)")</f>
        <v>HP Regeneration When Moving (1/1/2/3)</v>
      </c>
      <c r="H60" s="42" t="str">
        <f>IFERROR(__xludf.DUMMYFUNCTION("""COMPUTED_VALUE"""),"Recipe: Circles of Life
Rare: Snooty Slime Knight (Rarefied)")</f>
        <v>Recipe: Circles of Life
Rare: Snooty Slime Knight (Rarefied)</v>
      </c>
      <c r="I60" s="42" t="str">
        <f>IFERROR(__xludf.DUMMYFUNCTION("""COMPUTED_VALUE"""),"Mythril Ore: 2
Dieamend: 3
Pink Pearl: 1
Sainted Soma: 1")</f>
        <v>Mythril Ore: 2
Dieamend: 3
Pink Pearl: 1
Sainted Soma: 1</v>
      </c>
    </row>
    <row r="61">
      <c r="A61" s="41" t="str">
        <f>IFERROR(__xludf.DUMMYFUNCTION("""COMPUTED_VALUE"""),"Ring of Immunity")</f>
        <v>Ring of Immunity</v>
      </c>
      <c r="B61" s="31" t="str">
        <f>IFERROR(__xludf.DUMMYFUNCTION("""COMPUTED_VALUE"""),"Defence")</f>
        <v>Defence</v>
      </c>
      <c r="C61" s="31">
        <f>IFERROR(__xludf.DUMMYFUNCTION("""COMPUTED_VALUE"""),5.0)</f>
        <v>5</v>
      </c>
      <c r="D61" s="31">
        <f>IFERROR(__xludf.DUMMYFUNCTION("""COMPUTED_VALUE"""),6.0)</f>
        <v>6</v>
      </c>
      <c r="E61" s="31">
        <f>IFERROR(__xludf.DUMMYFUNCTION("""COMPUTED_VALUE"""),8.0)</f>
        <v>8</v>
      </c>
      <c r="F61" s="31">
        <f>IFERROR(__xludf.DUMMYFUNCTION("""COMPUTED_VALUE"""),10.0)</f>
        <v>10</v>
      </c>
      <c r="G61" s="31" t="str">
        <f>IFERROR(__xludf.DUMMYFUNCTION("""COMPUTED_VALUE"""),"Poison Protection (30/35/40/50%)")</f>
        <v>Poison Protection (30/35/40/50%)</v>
      </c>
      <c r="H61" s="41" t="str">
        <f>IFERROR(__xludf.DUMMYFUNCTION("""COMPUTED_VALUE"""),"Recipe: Little Lifesavers")</f>
        <v>Recipe: Little Lifesavers</v>
      </c>
      <c r="I61" s="41" t="str">
        <f>IFERROR(__xludf.DUMMYFUNCTION("""COMPUTED_VALUE"""),"Snakeskin: 2
Special Antidote: 3
Coagulant: 3")</f>
        <v>Snakeskin: 2
Special Antidote: 3
Coagulant: 3</v>
      </c>
    </row>
    <row r="62">
      <c r="A62" s="42" t="str">
        <f>IFERROR(__xludf.DUMMYFUNCTION("""COMPUTED_VALUE"""),"Ring of Truth")</f>
        <v>Ring of Truth</v>
      </c>
      <c r="B62" s="30" t="str">
        <f>IFERROR(__xludf.DUMMYFUNCTION("""COMPUTED_VALUE"""),"Defence")</f>
        <v>Defence</v>
      </c>
      <c r="C62" s="30">
        <f>IFERROR(__xludf.DUMMYFUNCTION("""COMPUTED_VALUE"""),5.0)</f>
        <v>5</v>
      </c>
      <c r="D62" s="30">
        <f>IFERROR(__xludf.DUMMYFUNCTION("""COMPUTED_VALUE"""),6.0)</f>
        <v>6</v>
      </c>
      <c r="E62" s="30">
        <f>IFERROR(__xludf.DUMMYFUNCTION("""COMPUTED_VALUE"""),8.0)</f>
        <v>8</v>
      </c>
      <c r="F62" s="30">
        <f>IFERROR(__xludf.DUMMYFUNCTION("""COMPUTED_VALUE"""),10.0)</f>
        <v>10</v>
      </c>
      <c r="G62" s="30" t="str">
        <f>IFERROR(__xludf.DUMMYFUNCTION("""COMPUTED_VALUE"""),"Bedazzlement Protection (30/35/40/50%)")</f>
        <v>Bedazzlement Protection (30/35/40/50%)</v>
      </c>
      <c r="H62" s="42" t="str">
        <f>IFERROR(__xludf.DUMMYFUNCTION("""COMPUTED_VALUE"""),"Recipe: Little Lifesavers")</f>
        <v>Recipe: Little Lifesavers</v>
      </c>
      <c r="I62" s="42" t="str">
        <f>IFERROR(__xludf.DUMMYFUNCTION("""COMPUTED_VALUE"""),"Silver Ore: 2
Panacea: 3
Kitty Litter: 1")</f>
        <v>Silver Ore: 2
Panacea: 3
Kitty Litter: 1</v>
      </c>
    </row>
    <row r="63">
      <c r="A63" s="41" t="str">
        <f>IFERROR(__xludf.DUMMYFUNCTION("""COMPUTED_VALUE"""),"Full Moon Ring")</f>
        <v>Full Moon Ring</v>
      </c>
      <c r="B63" s="31" t="str">
        <f>IFERROR(__xludf.DUMMYFUNCTION("""COMPUTED_VALUE"""),"Defence")</f>
        <v>Defence</v>
      </c>
      <c r="C63" s="31">
        <f>IFERROR(__xludf.DUMMYFUNCTION("""COMPUTED_VALUE"""),5.0)</f>
        <v>5</v>
      </c>
      <c r="D63" s="31">
        <f>IFERROR(__xludf.DUMMYFUNCTION("""COMPUTED_VALUE"""),6.0)</f>
        <v>6</v>
      </c>
      <c r="E63" s="31">
        <f>IFERROR(__xludf.DUMMYFUNCTION("""COMPUTED_VALUE"""),8.0)</f>
        <v>8</v>
      </c>
      <c r="F63" s="31">
        <f>IFERROR(__xludf.DUMMYFUNCTION("""COMPUTED_VALUE"""),10.0)</f>
        <v>10</v>
      </c>
      <c r="G63" s="31" t="str">
        <f>IFERROR(__xludf.DUMMYFUNCTION("""COMPUTED_VALUE"""),"Paralysis Protection (30/35/40/50%)")</f>
        <v>Paralysis Protection (30/35/40/50%)</v>
      </c>
      <c r="H63" s="41" t="str">
        <f>IFERROR(__xludf.DUMMYFUNCTION("""COMPUTED_VALUE"""),"Recipe: Little Lifesavers
Rare: Tentacular")</f>
        <v>Recipe: Little Lifesavers
Rare: Tentacular</v>
      </c>
      <c r="I63" s="41" t="str">
        <f>IFERROR(__xludf.DUMMYFUNCTION("""COMPUTED_VALUE"""),"Platinum Ore: 2
Lunaria: 3
Coagulant: 1")</f>
        <v>Platinum Ore: 2
Lunaria: 3
Coagulant: 1</v>
      </c>
    </row>
    <row r="64">
      <c r="A64" s="42" t="str">
        <f>IFERROR(__xludf.DUMMYFUNCTION("""COMPUTED_VALUE"""),"Rousing Ring")</f>
        <v>Rousing Ring</v>
      </c>
      <c r="B64" s="30" t="str">
        <f>IFERROR(__xludf.DUMMYFUNCTION("""COMPUTED_VALUE"""),"Defence")</f>
        <v>Defence</v>
      </c>
      <c r="C64" s="30">
        <f>IFERROR(__xludf.DUMMYFUNCTION("""COMPUTED_VALUE"""),5.0)</f>
        <v>5</v>
      </c>
      <c r="D64" s="30">
        <f>IFERROR(__xludf.DUMMYFUNCTION("""COMPUTED_VALUE"""),6.0)</f>
        <v>6</v>
      </c>
      <c r="E64" s="30">
        <f>IFERROR(__xludf.DUMMYFUNCTION("""COMPUTED_VALUE"""),8.0)</f>
        <v>8</v>
      </c>
      <c r="F64" s="30">
        <f>IFERROR(__xludf.DUMMYFUNCTION("""COMPUTED_VALUE"""),10.0)</f>
        <v>10</v>
      </c>
      <c r="G64" s="30" t="str">
        <f>IFERROR(__xludf.DUMMYFUNCTION("""COMPUTED_VALUE"""),"Sleep Protection (30/35/40/50%)")</f>
        <v>Sleep Protection (30/35/40/50%)</v>
      </c>
      <c r="H64" s="42" t="str">
        <f>IFERROR(__xludf.DUMMYFUNCTION("""COMPUTED_VALUE"""),"Recipe: Little Lifesavers
Rare: Golden Globe (Rarefied)")</f>
        <v>Recipe: Little Lifesavers
Rare: Golden Globe (Rarefied)</v>
      </c>
      <c r="I64" s="42" t="str">
        <f>IFERROR(__xludf.DUMMYFUNCTION("""COMPUTED_VALUE"""),"Gold Ore: 2
Wakerobin: 3
Sleep Hibiscus: 1")</f>
        <v>Gold Ore: 2
Wakerobin: 3
Sleep Hibiscus: 1</v>
      </c>
    </row>
    <row r="65">
      <c r="A65" s="41" t="str">
        <f>IFERROR(__xludf.DUMMYFUNCTION("""COMPUTED_VALUE"""),"Ring of Clarity")</f>
        <v>Ring of Clarity</v>
      </c>
      <c r="B65" s="31" t="str">
        <f>IFERROR(__xludf.DUMMYFUNCTION("""COMPUTED_VALUE"""),"Defence")</f>
        <v>Defence</v>
      </c>
      <c r="C65" s="31">
        <f>IFERROR(__xludf.DUMMYFUNCTION("""COMPUTED_VALUE"""),5.0)</f>
        <v>5</v>
      </c>
      <c r="D65" s="31">
        <f>IFERROR(__xludf.DUMMYFUNCTION("""COMPUTED_VALUE"""),6.0)</f>
        <v>6</v>
      </c>
      <c r="E65" s="31">
        <f>IFERROR(__xludf.DUMMYFUNCTION("""COMPUTED_VALUE"""),8.0)</f>
        <v>8</v>
      </c>
      <c r="F65" s="31">
        <f>IFERROR(__xludf.DUMMYFUNCTION("""COMPUTED_VALUE"""),10.0)</f>
        <v>10</v>
      </c>
      <c r="G65" s="31" t="str">
        <f>IFERROR(__xludf.DUMMYFUNCTION("""COMPUTED_VALUE"""),"Confusion Protection (30/35/40/50%)")</f>
        <v>Confusion Protection (30/35/40/50%)</v>
      </c>
      <c r="H65" s="41" t="str">
        <f>IFERROR(__xludf.DUMMYFUNCTION("""COMPUTED_VALUE"""),"Recipe: Little Lifesavers
Rare: Knight Errant")</f>
        <v>Recipe: Little Lifesavers
Rare: Knight Errant</v>
      </c>
      <c r="I65" s="41" t="str">
        <f>IFERROR(__xludf.DUMMYFUNCTION("""COMPUTED_VALUE"""),"Silver Ore: 2
Angel Bell: 3
Mystifiying Mixture: 1")</f>
        <v>Silver Ore: 2
Angel Bell: 3
Mystifiying Mixture: 1</v>
      </c>
    </row>
    <row r="66">
      <c r="A66" s="42" t="str">
        <f>IFERROR(__xludf.DUMMYFUNCTION("""COMPUTED_VALUE"""),"Sorcerer's Ring")</f>
        <v>Sorcerer's Ring</v>
      </c>
      <c r="B66" s="30" t="str">
        <f>IFERROR(__xludf.DUMMYFUNCTION("""COMPUTED_VALUE"""),"Defence
Max MP")</f>
        <v>Defence
Max MP</v>
      </c>
      <c r="C66" s="30" t="str">
        <f>IFERROR(__xludf.DUMMYFUNCTION("""COMPUTED_VALUE"""),"5
10")</f>
        <v>5
10</v>
      </c>
      <c r="D66" s="30" t="str">
        <f>IFERROR(__xludf.DUMMYFUNCTION("""COMPUTED_VALUE"""),"6
11")</f>
        <v>6
11</v>
      </c>
      <c r="E66" s="30" t="str">
        <f>IFERROR(__xludf.DUMMYFUNCTION("""COMPUTED_VALUE"""),"8
13")</f>
        <v>8
13</v>
      </c>
      <c r="F66" s="30" t="str">
        <f>IFERROR(__xludf.DUMMYFUNCTION("""COMPUTED_VALUE"""),"10
15")</f>
        <v>10
15</v>
      </c>
      <c r="G66" s="30" t="str">
        <f>IFERROR(__xludf.DUMMYFUNCTION("""COMPUTED_VALUE"""),"Post-Battle MP Restoration (4/6/8/10)")</f>
        <v>Post-Battle MP Restoration (4/6/8/10)</v>
      </c>
      <c r="H66" s="42" t="str">
        <f>IFERROR(__xludf.DUMMYFUNCTION("""COMPUTED_VALUE"""),"Recipe: Little Lifesavers")</f>
        <v>Recipe: Little Lifesavers</v>
      </c>
      <c r="I66" s="42" t="str">
        <f>IFERROR(__xludf.DUMMYFUNCTION("""COMPUTED_VALUE"""),"Gold Ore: 2
Saint's Ashes: 1")</f>
        <v>Gold Ore: 2
Saint's Ashes: 1</v>
      </c>
    </row>
    <row r="67">
      <c r="A67" s="41" t="str">
        <f>IFERROR(__xludf.DUMMYFUNCTION("""COMPUTED_VALUE"""),"Circle of Serendipity")</f>
        <v>Circle of Serendipity</v>
      </c>
      <c r="B67" s="31" t="str">
        <f>IFERROR(__xludf.DUMMYFUNCTION("""COMPUTED_VALUE"""),"Defence
Charm")</f>
        <v>Defence
Charm</v>
      </c>
      <c r="C67" s="31" t="str">
        <f>IFERROR(__xludf.DUMMYFUNCTION("""COMPUTED_VALUE"""),"3
10")</f>
        <v>3
10</v>
      </c>
      <c r="D67" s="31" t="str">
        <f>IFERROR(__xludf.DUMMYFUNCTION("""COMPUTED_VALUE"""),"4
11")</f>
        <v>4
11</v>
      </c>
      <c r="E67" s="31" t="str">
        <f>IFERROR(__xludf.DUMMYFUNCTION("""COMPUTED_VALUE"""),"6
13")</f>
        <v>6
13</v>
      </c>
      <c r="F67" s="31" t="str">
        <f>IFERROR(__xludf.DUMMYFUNCTION("""COMPUTED_VALUE"""),"8
15")</f>
        <v>8
15</v>
      </c>
      <c r="G67" s="31" t="str">
        <f>IFERROR(__xludf.DUMMYFUNCTION("""COMPUTED_VALUE"""),"Increased chance of rarefied monsters (3%)")</f>
        <v>Increased chance of rarefied monsters (3%)</v>
      </c>
      <c r="H67" s="41" t="str">
        <f>IFERROR(__xludf.DUMMYFUNCTION("""COMPUTED_VALUE"""),"Mini Medal Stamp: 75")</f>
        <v>Mini Medal Stamp: 75</v>
      </c>
      <c r="I67" s="41"/>
    </row>
    <row r="68">
      <c r="A68" s="42" t="str">
        <f>IFERROR(__xludf.DUMMYFUNCTION("""COMPUTED_VALUE"""),"Skull Ring")</f>
        <v>Skull Ring</v>
      </c>
      <c r="B68" s="30" t="str">
        <f>IFERROR(__xludf.DUMMYFUNCTION("""COMPUTED_VALUE"""),"Defence")</f>
        <v>Defence</v>
      </c>
      <c r="C68" s="30">
        <f>IFERROR(__xludf.DUMMYFUNCTION("""COMPUTED_VALUE"""),5.0)</f>
        <v>5</v>
      </c>
      <c r="D68" s="30">
        <f>IFERROR(__xludf.DUMMYFUNCTION("""COMPUTED_VALUE"""),6.0)</f>
        <v>6</v>
      </c>
      <c r="E68" s="30">
        <f>IFERROR(__xludf.DUMMYFUNCTION("""COMPUTED_VALUE"""),8.0)</f>
        <v>8</v>
      </c>
      <c r="F68" s="30">
        <f>IFERROR(__xludf.DUMMYFUNCTION("""COMPUTED_VALUE"""),10.0)</f>
        <v>10</v>
      </c>
      <c r="G68" s="30" t="str">
        <f>IFERROR(__xludf.DUMMYFUNCTION("""COMPUTED_VALUE"""),"Dark Damage Reduction (30/35/40/50%)
Insta-Death Protection (30/35/40/50%)")</f>
        <v>Dark Damage Reduction (30/35/40/50%)
Insta-Death Protection (30/35/40/50%)</v>
      </c>
      <c r="H68" s="42" t="str">
        <f>IFERROR(__xludf.DUMMYFUNCTION("""COMPUTED_VALUE"""),"Recipe: Circles of Life
Rare: Infanticore, Wight Bulb (Rarefied), Manticore, Franticore")</f>
        <v>Recipe: Circles of Life
Rare: Infanticore, Wight Bulb (Rarefied), Manticore, Franticore</v>
      </c>
      <c r="I68" s="42" t="str">
        <f>IFERROR(__xludf.DUMMYFUNCTION("""COMPUTED_VALUE"""),"Mythril Ore: 2
Night Stick: 2
Extral Mural: 2
Serpent's Soul: 1")</f>
        <v>Mythril Ore: 2
Night Stick: 2
Extral Mural: 2
Serpent's Soul: 1</v>
      </c>
    </row>
    <row r="69">
      <c r="A69" s="41" t="str">
        <f>IFERROR(__xludf.DUMMYFUNCTION("""COMPUTED_VALUE"""),"Catholicon Ring")</f>
        <v>Catholicon Ring</v>
      </c>
      <c r="B69" s="31" t="str">
        <f>IFERROR(__xludf.DUMMYFUNCTION("""COMPUTED_VALUE"""),"Defence")</f>
        <v>Defence</v>
      </c>
      <c r="C69" s="31">
        <f>IFERROR(__xludf.DUMMYFUNCTION("""COMPUTED_VALUE"""),5.0)</f>
        <v>5</v>
      </c>
      <c r="D69" s="31">
        <f>IFERROR(__xludf.DUMMYFUNCTION("""COMPUTED_VALUE"""),6.0)</f>
        <v>6</v>
      </c>
      <c r="E69" s="31">
        <f>IFERROR(__xludf.DUMMYFUNCTION("""COMPUTED_VALUE"""),8.0)</f>
        <v>8</v>
      </c>
      <c r="F69" s="31">
        <f>IFERROR(__xludf.DUMMYFUNCTION("""COMPUTED_VALUE"""),10.0)</f>
        <v>10</v>
      </c>
      <c r="G69" s="31" t="str">
        <f>IFERROR(__xludf.DUMMYFUNCTION("""COMPUTED_VALUE"""),"Sleep &amp; Confusion Protection (20/30/40/50%)
Poison, Venom &amp; Bedazzle Protection (20/30/40/50%)
Paralysis &amp; Turn Skip Protection (20/30/40/50%)")</f>
        <v>Sleep &amp; Confusion Protection (20/30/40/50%)
Poison, Venom &amp; Bedazzle Protection (20/30/40/50%)
Paralysis &amp; Turn Skip Protection (20/30/40/50%)</v>
      </c>
      <c r="H69" s="41" t="str">
        <f>IFERROR(__xludf.DUMMYFUNCTION("""COMPUTED_VALUE"""),"Recipe: Kings of the Rings")</f>
        <v>Recipe: Kings of the Rings</v>
      </c>
      <c r="I69" s="41" t="str">
        <f>IFERROR(__xludf.DUMMYFUNCTION("""COMPUTED_VALUE"""),"Gold Bar: 1
Perfect Panacea: 3
Royal Ruby: 2
Red Wood: 3")</f>
        <v>Gold Bar: 1
Perfect Panacea: 3
Royal Ruby: 2
Red Wood: 3</v>
      </c>
    </row>
    <row r="70">
      <c r="A70" s="42" t="str">
        <f>IFERROR(__xludf.DUMMYFUNCTION("""COMPUTED_VALUE"""),"Goddess Ring")</f>
        <v>Goddess Ring</v>
      </c>
      <c r="B70" s="30" t="str">
        <f>IFERROR(__xludf.DUMMYFUNCTION("""COMPUTED_VALUE"""),"Defence
Magic Mend")</f>
        <v>Defence
Magic Mend</v>
      </c>
      <c r="C70" s="30" t="str">
        <f>IFERROR(__xludf.DUMMYFUNCTION("""COMPUTED_VALUE"""),"5
10")</f>
        <v>5
10</v>
      </c>
      <c r="D70" s="30" t="str">
        <f>IFERROR(__xludf.DUMMYFUNCTION("""COMPUTED_VALUE"""),"6
11")</f>
        <v>6
11</v>
      </c>
      <c r="E70" s="30" t="str">
        <f>IFERROR(__xludf.DUMMYFUNCTION("""COMPUTED_VALUE"""),"8
13")</f>
        <v>8
13</v>
      </c>
      <c r="F70" s="30" t="str">
        <f>IFERROR(__xludf.DUMMYFUNCTION("""COMPUTED_VALUE"""),"10
15")</f>
        <v>10
15</v>
      </c>
      <c r="G70" s="30" t="str">
        <f>IFERROR(__xludf.DUMMYFUNCTION("""COMPUTED_VALUE"""),"MP Regeneration When Moving (1/1/1/2)
Sleep (30/35/40/50%)
Confusion (30/35/40/50%)
Paralysis Protection (30/35/40/50%)")</f>
        <v>MP Regeneration When Moving (1/1/1/2)
Sleep (30/35/40/50%)
Confusion (30/35/40/50%)
Paralysis Protection (30/35/40/50%)</v>
      </c>
      <c r="H70" s="42" t="str">
        <f>IFERROR(__xludf.DUMMYFUNCTION("""COMPUTED_VALUE"""),"Recipe: Kings of the Rings")</f>
        <v>Recipe: Kings of the Rings</v>
      </c>
      <c r="I70" s="42" t="str">
        <f>IFERROR(__xludf.DUMMYFUNCTION("""COMPUTED_VALUE"""),"Dracolyte: 2
Sainted Soma: 1
Dieamend: 3
Spectralite: 1")</f>
        <v>Dracolyte: 2
Sainted Soma: 1
Dieamend: 3
Spectralite: 1</v>
      </c>
    </row>
    <row r="71">
      <c r="A71" s="56" t="str">
        <f>IFERROR(__xludf.DUMMYFUNCTION("""COMPUTED_VALUE"""),"Ring of Changes")</f>
        <v>Ring of Changes</v>
      </c>
      <c r="B71" s="31" t="str">
        <f>IFERROR(__xludf.DUMMYFUNCTION("""COMPUTED_VALUE"""),"Defence
Charm")</f>
        <v>Defence
Charm</v>
      </c>
      <c r="C71" s="31" t="str">
        <f>IFERROR(__xludf.DUMMYFUNCTION("""COMPUTED_VALUE"""),"5
58")</f>
        <v>5
58</v>
      </c>
      <c r="D71" s="31" t="str">
        <f>IFERROR(__xludf.DUMMYFUNCTION("""COMPUTED_VALUE"""),"6
59")</f>
        <v>6
59</v>
      </c>
      <c r="E71" s="31" t="str">
        <f>IFERROR(__xludf.DUMMYFUNCTION("""COMPUTED_VALUE"""),"8
61")</f>
        <v>8
61</v>
      </c>
      <c r="F71" s="31" t="str">
        <f>IFERROR(__xludf.DUMMYFUNCTION("""COMPUTED_VALUE"""),"10
63")</f>
        <v>10
63</v>
      </c>
      <c r="G71" s="31" t="str">
        <f>IFERROR(__xludf.DUMMYFUNCTION("""COMPUTED_VALUE"""),"Change's the wearer's hairstyle")</f>
        <v>Change's the wearer's hairstyle</v>
      </c>
      <c r="H71" s="41" t="str">
        <f>IFERROR(__xludf.DUMMYFUNCTION("""COMPUTED_VALUE"""),"Make a Wish at Trial Isle")</f>
        <v>Make a Wish at Trial Isle</v>
      </c>
      <c r="I71" s="41"/>
    </row>
    <row r="72">
      <c r="A72" s="40" t="str">
        <f>IFERROR(__xludf.DUMMYFUNCTION("""COMPUTED_VALUE"""),"Footwear")</f>
        <v>Footwear</v>
      </c>
      <c r="B72" s="7"/>
      <c r="C72" s="7"/>
      <c r="D72" s="7"/>
      <c r="E72" s="7"/>
      <c r="F72" s="7"/>
      <c r="G72" s="7"/>
      <c r="H72" s="7"/>
      <c r="I72" s="8"/>
    </row>
    <row r="73">
      <c r="A73" s="41" t="str">
        <f>IFERROR(__xludf.DUMMYFUNCTION("""COMPUTED_VALUE"""),"Angel's Sandals")</f>
        <v>Angel's Sandals</v>
      </c>
      <c r="B73" s="31" t="str">
        <f>IFERROR(__xludf.DUMMYFUNCTION("""COMPUTED_VALUE"""),"Agility")</f>
        <v>Agility</v>
      </c>
      <c r="C73" s="31">
        <f>IFERROR(__xludf.DUMMYFUNCTION("""COMPUTED_VALUE"""),25.0)</f>
        <v>25</v>
      </c>
      <c r="D73" s="31">
        <f>IFERROR(__xludf.DUMMYFUNCTION("""COMPUTED_VALUE"""),26.0)</f>
        <v>26</v>
      </c>
      <c r="E73" s="31">
        <f>IFERROR(__xludf.DUMMYFUNCTION("""COMPUTED_VALUE"""),28.0)</f>
        <v>28</v>
      </c>
      <c r="F73" s="31">
        <f>IFERROR(__xludf.DUMMYFUNCTION("""COMPUTED_VALUE"""),30.0)</f>
        <v>30</v>
      </c>
      <c r="G73" s="31" t="str">
        <f>IFERROR(__xludf.DUMMYFUNCTION("""COMPUTED_VALUE"""),"Turn Skip Protection (10/15/20/25%)")</f>
        <v>Turn Skip Protection (10/15/20/25%)</v>
      </c>
      <c r="H73" s="41" t="str">
        <f>IFERROR(__xludf.DUMMYFUNCTION("""COMPUTED_VALUE"""),"Recipe: Divine Designs")</f>
        <v>Recipe: Divine Designs</v>
      </c>
      <c r="I73" s="41" t="str">
        <f>IFERROR(__xludf.DUMMYFUNCTION("""COMPUTED_VALUE"""),"Celestial Skein: 2
Angel Bell: 3
Flurry Feather: 2")</f>
        <v>Celestial Skein: 2
Angel Bell: 3
Flurry Feather: 2</v>
      </c>
    </row>
    <row r="74">
      <c r="A74" s="55" t="str">
        <f>IFERROR(__xludf.DUMMYFUNCTION("""COMPUTED_VALUE"""),"General's Jackboots")</f>
        <v>General's Jackboots</v>
      </c>
      <c r="B74" s="30" t="str">
        <f>IFERROR(__xludf.DUMMYFUNCTION("""COMPUTED_VALUE"""),"Defence
Agility
Max HP
Charm")</f>
        <v>Defence
Agility
Max HP
Charm</v>
      </c>
      <c r="C74" s="30" t="str">
        <f>IFERROR(__xludf.DUMMYFUNCTION("""COMPUTED_VALUE"""),"15
20
17
22")</f>
        <v>15
20
17
22</v>
      </c>
      <c r="D74" s="30" t="str">
        <f>IFERROR(__xludf.DUMMYFUNCTION("""COMPUTED_VALUE"""),"15
21
18
23")</f>
        <v>15
21
18
23</v>
      </c>
      <c r="E74" s="30" t="str">
        <f>IFERROR(__xludf.DUMMYFUNCTION("""COMPUTED_VALUE"""),"16
22
19
24")</f>
        <v>16
22
19
24</v>
      </c>
      <c r="F74" s="30" t="str">
        <f>IFERROR(__xludf.DUMMYFUNCTION("""COMPUTED_VALUE"""),"17
23
20
26")</f>
        <v>17
23
20
26</v>
      </c>
      <c r="G74" s="30" t="str">
        <f>IFERROR(__xludf.DUMMYFUNCTION("""COMPUTED_VALUE"""),"Turn Skip Protection (25/30/35/40%)")</f>
        <v>Turn Skip Protection (25/30/35/40%)</v>
      </c>
      <c r="H74" s="42" t="str">
        <f>IFERROR(__xludf.DUMMYFUNCTION("""COMPUTED_VALUE"""),"Recipe: General Directives")</f>
        <v>Recipe: General Directives</v>
      </c>
      <c r="I74" s="42" t="str">
        <f>IFERROR(__xludf.DUMMYFUNCTION("""COMPUTED_VALUE"""),"Dragon Hide: 2
Gold Nuglet: 1
Saint's Ashes: 1
Evencloth: 2")</f>
        <v>Dragon Hide: 2
Gold Nuglet: 1
Saint's Ashes: 1
Evencloth: 2</v>
      </c>
    </row>
    <row r="75">
      <c r="A75" s="41" t="str">
        <f>IFERROR(__xludf.DUMMYFUNCTION("""COMPUTED_VALUE"""),"Springheal Boots")</f>
        <v>Springheal Boots</v>
      </c>
      <c r="B75" s="31" t="str">
        <f>IFERROR(__xludf.DUMMYFUNCTION("""COMPUTED_VALUE"""),"Defence")</f>
        <v>Defence</v>
      </c>
      <c r="C75" s="31">
        <f>IFERROR(__xludf.DUMMYFUNCTION("""COMPUTED_VALUE"""),25.0)</f>
        <v>25</v>
      </c>
      <c r="D75" s="31">
        <f>IFERROR(__xludf.DUMMYFUNCTION("""COMPUTED_VALUE"""),26.0)</f>
        <v>26</v>
      </c>
      <c r="E75" s="31">
        <f>IFERROR(__xludf.DUMMYFUNCTION("""COMPUTED_VALUE"""),28.0)</f>
        <v>28</v>
      </c>
      <c r="F75" s="31">
        <f>IFERROR(__xludf.DUMMYFUNCTION("""COMPUTED_VALUE"""),30.0)</f>
        <v>30</v>
      </c>
      <c r="G75" s="31" t="str">
        <f>IFERROR(__xludf.DUMMYFUNCTION("""COMPUTED_VALUE"""),"HP Regeneration When Moving (1/1/1/2)")</f>
        <v>HP Regeneration When Moving (1/1/1/2)</v>
      </c>
      <c r="H75" s="41" t="str">
        <f>IFERROR(__xludf.DUMMYFUNCTION("""COMPUTED_VALUE"""),"Recipe: Footwear of the Rich and Famous
Rare: Equinox")</f>
        <v>Recipe: Footwear of the Rich and Famous
Rare: Equinox</v>
      </c>
      <c r="I75" s="41" t="str">
        <f>IFERROR(__xludf.DUMMYFUNCTION("""COMPUTED_VALUE"""),"Densinium: 3
Sainted Soma: 1
Dieamend: 3")</f>
        <v>Densinium: 3
Sainted Soma: 1
Dieamend: 3</v>
      </c>
    </row>
    <row r="76">
      <c r="A76" s="42" t="str">
        <f>IFERROR(__xludf.DUMMYFUNCTION("""COMPUTED_VALUE"""),"Caligae of Clarity")</f>
        <v>Caligae of Clarity</v>
      </c>
      <c r="B76" s="30" t="str">
        <f>IFERROR(__xludf.DUMMYFUNCTION("""COMPUTED_VALUE"""),"Magic Might")</f>
        <v>Magic Might</v>
      </c>
      <c r="C76" s="30">
        <f>IFERROR(__xludf.DUMMYFUNCTION("""COMPUTED_VALUE"""),20.0)</f>
        <v>20</v>
      </c>
      <c r="D76" s="30">
        <f>IFERROR(__xludf.DUMMYFUNCTION("""COMPUTED_VALUE"""),21.0)</f>
        <v>21</v>
      </c>
      <c r="E76" s="30">
        <f>IFERROR(__xludf.DUMMYFUNCTION("""COMPUTED_VALUE"""),23.0)</f>
        <v>23</v>
      </c>
      <c r="F76" s="30">
        <f>IFERROR(__xludf.DUMMYFUNCTION("""COMPUTED_VALUE"""),25.0)</f>
        <v>25</v>
      </c>
      <c r="G76" s="30" t="str">
        <f>IFERROR(__xludf.DUMMYFUNCTION("""COMPUTED_VALUE"""),"MP Regeneration When Moving (1/1/1/2)")</f>
        <v>MP Regeneration When Moving (1/1/1/2)</v>
      </c>
      <c r="H76" s="69" t="str">
        <f>IFERROR(__xludf.DUMMYFUNCTION("""COMPUTED_VALUE"""),"Recipe: Footwear of the Rich and Famous")</f>
        <v>Recipe: Footwear of the Rich and Famous</v>
      </c>
      <c r="I76" s="42" t="str">
        <f>IFERROR(__xludf.DUMMYFUNCTION("""COMPUTED_VALUE"""),"Magic Beast Hide: 3
Chronocrystal: 1
Dieamend: 3")</f>
        <v>Magic Beast Hide: 3
Chronocrystal: 1
Dieamend: 3</v>
      </c>
    </row>
    <row r="77">
      <c r="A77" s="41" t="str">
        <f>IFERROR(__xludf.DUMMYFUNCTION("""COMPUTED_VALUE"""),"Archangel's Boots")</f>
        <v>Archangel's Boots</v>
      </c>
      <c r="B77" s="31" t="str">
        <f>IFERROR(__xludf.DUMMYFUNCTION("""COMPUTED_VALUE"""),"Defence")</f>
        <v>Defence</v>
      </c>
      <c r="C77" s="31">
        <f>IFERROR(__xludf.DUMMYFUNCTION("""COMPUTED_VALUE"""),25.0)</f>
        <v>25</v>
      </c>
      <c r="D77" s="31">
        <f>IFERROR(__xludf.DUMMYFUNCTION("""COMPUTED_VALUE"""),26.0)</f>
        <v>26</v>
      </c>
      <c r="E77" s="31">
        <f>IFERROR(__xludf.DUMMYFUNCTION("""COMPUTED_VALUE"""),27.0)</f>
        <v>27</v>
      </c>
      <c r="F77" s="31">
        <f>IFERROR(__xludf.DUMMYFUNCTION("""COMPUTED_VALUE"""),28.0)</f>
        <v>28</v>
      </c>
      <c r="G77" s="31" t="str">
        <f>IFERROR(__xludf.DUMMYFUNCTION("""COMPUTED_VALUE"""),"Turn Skip Protection (30/35/40/50%)")</f>
        <v>Turn Skip Protection (30/35/40/50%)</v>
      </c>
      <c r="H77" s="70" t="str">
        <f>IFERROR(__xludf.DUMMYFUNCTION("""COMPUTED_VALUE"""),"Recipe: Footwear of the Rich and Famous")</f>
        <v>Recipe: Footwear of the Rich and Famous</v>
      </c>
      <c r="I77" s="41" t="str">
        <f>IFERROR(__xludf.DUMMYFUNCTION("""COMPUTED_VALUE"""),"Lambswood: 3
Sainted Soma: 1
Flurry Feather: 2")</f>
        <v>Lambswood: 3
Sainted Soma: 1
Flurry Feather: 2</v>
      </c>
    </row>
    <row r="78">
      <c r="A78" s="55" t="str">
        <f>IFERROR(__xludf.DUMMYFUNCTION("""COMPUTED_VALUE"""),"Field Marshal's Footwear")</f>
        <v>Field Marshal's Footwear</v>
      </c>
      <c r="B78" s="30" t="str">
        <f>IFERROR(__xludf.DUMMYFUNCTION("""COMPUTED_VALUE"""),"Defence
Agility
Max HP
Charm")</f>
        <v>Defence
Agility
Max HP
Charm</v>
      </c>
      <c r="C78" s="30" t="str">
        <f>IFERROR(__xludf.DUMMYFUNCTION("""COMPUTED_VALUE"""),"35
33
25
39")</f>
        <v>35
33
25
39</v>
      </c>
      <c r="D78" s="30" t="str">
        <f>IFERROR(__xludf.DUMMYFUNCTION("""COMPUTED_VALUE"""),"36
34
26
40")</f>
        <v>36
34
26
40</v>
      </c>
      <c r="E78" s="30" t="str">
        <f>IFERROR(__xludf.DUMMYFUNCTION("""COMPUTED_VALUE"""),"38
35
28
41")</f>
        <v>38
35
28
41</v>
      </c>
      <c r="F78" s="30" t="str">
        <f>IFERROR(__xludf.DUMMYFUNCTION("""COMPUTED_VALUE"""),"40
36
30
42")</f>
        <v>40
36
30
42</v>
      </c>
      <c r="G78" s="30" t="str">
        <f>IFERROR(__xludf.DUMMYFUNCTION("""COMPUTED_VALUE"""),"Turn Skip Protection (50/60/70/80%)")</f>
        <v>Turn Skip Protection (50/60/70/80%)</v>
      </c>
      <c r="H78" s="42" t="str">
        <f>IFERROR(__xludf.DUMMYFUNCTION("""COMPUTED_VALUE"""),"Recipe: Field Manual")</f>
        <v>Recipe: Field Manual</v>
      </c>
      <c r="I78" s="42" t="str">
        <f>IFERROR(__xludf.DUMMYFUNCTION("""COMPUTED_VALUE"""),"Serpent Skin: 2
Gold Nuglet: 2
Sainted Soma: 1
Grubby Bandage: 2")</f>
        <v>Serpent Skin: 2
Gold Nuglet: 2
Sainted Soma: 1
Grubby Bandage: 2</v>
      </c>
    </row>
    <row r="79">
      <c r="A79" s="40" t="str">
        <f>IFERROR(__xludf.DUMMYFUNCTION("""COMPUTED_VALUE"""),"Other Accessories")</f>
        <v>Other Accessories</v>
      </c>
      <c r="B79" s="24"/>
      <c r="C79" s="24"/>
      <c r="D79" s="24"/>
      <c r="E79" s="24"/>
      <c r="F79" s="24"/>
      <c r="G79" s="24"/>
      <c r="H79" s="24"/>
      <c r="I79" s="25"/>
    </row>
    <row r="80">
      <c r="A80" s="42" t="str">
        <f>IFERROR(__xludf.DUMMYFUNCTION("""COMPUTED_VALUE"""),"Gemma's Charm")</f>
        <v>Gemma's Charm</v>
      </c>
      <c r="B80" s="30" t="str">
        <f>IFERROR(__xludf.DUMMYFUNCTION("""COMPUTED_VALUE"""),"Defence")</f>
        <v>Defence</v>
      </c>
      <c r="C80" s="30">
        <f>IFERROR(__xludf.DUMMYFUNCTION("""COMPUTED_VALUE"""),1.0)</f>
        <v>1</v>
      </c>
      <c r="D80" s="30" t="str">
        <f>IFERROR(__xludf.DUMMYFUNCTION("""COMPUTED_VALUE"""),"-")</f>
        <v>-</v>
      </c>
      <c r="E80" s="30" t="str">
        <f>IFERROR(__xludf.DUMMYFUNCTION("""COMPUTED_VALUE"""),"--")</f>
        <v>--</v>
      </c>
      <c r="F80" s="30" t="str">
        <f>IFERROR(__xludf.DUMMYFUNCTION("""COMPUTED_VALUE"""),"--")</f>
        <v>--</v>
      </c>
      <c r="G80" s="30" t="str">
        <f>IFERROR(__xludf.DUMMYFUNCTION("""COMPUTED_VALUE"""),"Beguilement Protection (30%)
Curse Protection (30%)")</f>
        <v>Beguilement Protection (30%)
Curse Protection (30%)</v>
      </c>
      <c r="H80" s="42" t="str">
        <f>IFERROR(__xludf.DUMMYFUNCTION("""COMPUTED_VALUE"""),"Story")</f>
        <v>Story</v>
      </c>
      <c r="I80" s="45"/>
    </row>
    <row r="81">
      <c r="A81" s="41" t="str">
        <f>IFERROR(__xludf.DUMMYFUNCTION("""COMPUTED_VALUE"""),"Bunny Tail")</f>
        <v>Bunny Tail</v>
      </c>
      <c r="B81" s="31" t="str">
        <f>IFERROR(__xludf.DUMMYFUNCTION("""COMPUTED_VALUE"""),"Agility")</f>
        <v>Agility</v>
      </c>
      <c r="C81" s="31">
        <f>IFERROR(__xludf.DUMMYFUNCTION("""COMPUTED_VALUE"""),7.0)</f>
        <v>7</v>
      </c>
      <c r="D81" s="31">
        <f>IFERROR(__xludf.DUMMYFUNCTION("""COMPUTED_VALUE"""),8.0)</f>
        <v>8</v>
      </c>
      <c r="E81" s="31">
        <f>IFERROR(__xludf.DUMMYFUNCTION("""COMPUTED_VALUE"""),9.0)</f>
        <v>9</v>
      </c>
      <c r="F81" s="31">
        <f>IFERROR(__xludf.DUMMYFUNCTION("""COMPUTED_VALUE"""),10.0)</f>
        <v>10</v>
      </c>
      <c r="G81" s="31" t="str">
        <f>IFERROR(__xludf.DUMMYFUNCTION("""COMPUTED_VALUE"""),"Chance of monsters dropping items increased")</f>
        <v>Chance of monsters dropping items increased</v>
      </c>
      <c r="H81" s="41" t="str">
        <f>IFERROR(__xludf.DUMMYFUNCTION("""COMPUTED_VALUE"""),"Rare: Bunicorn, Spiked Hare, 24-Carrot Bunicorn (Rarefied)")</f>
        <v>Rare: Bunicorn, Spiked Hare, 24-Carrot Bunicorn (Rarefied)</v>
      </c>
      <c r="I81" s="46"/>
    </row>
    <row r="82">
      <c r="A82" s="42" t="str">
        <f>IFERROR(__xludf.DUMMYFUNCTION("""COMPUTED_VALUE"""),"Trickster")</f>
        <v>Trickster</v>
      </c>
      <c r="B82" s="30" t="str">
        <f>IFERROR(__xludf.DUMMYFUNCTION("""COMPUTED_VALUE"""),"Defence
Evasion %
Charm")</f>
        <v>Defence
Evasion %
Charm</v>
      </c>
      <c r="C82" s="30" t="str">
        <f>IFERROR(__xludf.DUMMYFUNCTION("""COMPUTED_VALUE"""),"2
1
5")</f>
        <v>2
1
5</v>
      </c>
      <c r="D82" s="30" t="str">
        <f>IFERROR(__xludf.DUMMYFUNCTION("""COMPUTED_VALUE"""),"2
2
6")</f>
        <v>2
2
6</v>
      </c>
      <c r="E82" s="30" t="str">
        <f>IFERROR(__xludf.DUMMYFUNCTION("""COMPUTED_VALUE"""),"2
3
8")</f>
        <v>2
3
8</v>
      </c>
      <c r="F82" s="30" t="str">
        <f>IFERROR(__xludf.DUMMYFUNCTION("""COMPUTED_VALUE"""),"3
4
10")</f>
        <v>3
4
10</v>
      </c>
      <c r="G82" s="30" t="str">
        <f>IFERROR(__xludf.DUMMYFUNCTION("""COMPUTED_VALUE"""),"--")</f>
        <v>--</v>
      </c>
      <c r="H82" s="42" t="str">
        <f>IFERROR(__xludf.DUMMYFUNCTION("""COMPUTED_VALUE"""),"Quest: A Cactus Cutlet to Die For")</f>
        <v>Quest: A Cactus Cutlet to Die For</v>
      </c>
      <c r="I82" s="45"/>
    </row>
    <row r="83">
      <c r="A83" s="41" t="str">
        <f>IFERROR(__xludf.DUMMYFUNCTION("""COMPUTED_VALUE"""),"Assassin")</f>
        <v>Assassin</v>
      </c>
      <c r="B83" s="31" t="str">
        <f>IFERROR(__xludf.DUMMYFUNCTION("""COMPUTED_VALUE"""),"Defence
Critical %
Charm")</f>
        <v>Defence
Critical %
Charm</v>
      </c>
      <c r="C83" s="31" t="str">
        <f>IFERROR(__xludf.DUMMYFUNCTION("""COMPUTED_VALUE"""),"2
1
5")</f>
        <v>2
1
5</v>
      </c>
      <c r="D83" s="31" t="str">
        <f>IFERROR(__xludf.DUMMYFUNCTION("""COMPUTED_VALUE"""),"2
1
6")</f>
        <v>2
1
6</v>
      </c>
      <c r="E83" s="31" t="str">
        <f>IFERROR(__xludf.DUMMYFUNCTION("""COMPUTED_VALUE"""),"2
1
8")</f>
        <v>2
1
8</v>
      </c>
      <c r="F83" s="31" t="str">
        <f>IFERROR(__xludf.DUMMYFUNCTION("""COMPUTED_VALUE"""),"3
2
10")</f>
        <v>3
2
10</v>
      </c>
      <c r="G83" s="31" t="str">
        <f>IFERROR(__xludf.DUMMYFUNCTION("""COMPUTED_VALUE"""),"--")</f>
        <v>--</v>
      </c>
      <c r="H83" s="63" t="str">
        <f>IFERROR(__xludf.DUMMYFUNCTION("""COMPUTED_VALUE"""),"Horse Race: Silver Cup (Difficult)")</f>
        <v>Horse Race: Silver Cup (Difficult)</v>
      </c>
      <c r="I83" s="41"/>
    </row>
    <row r="84">
      <c r="A84" s="42" t="str">
        <f>IFERROR(__xludf.DUMMYFUNCTION("""COMPUTED_VALUE"""),"Shield-Bearer")</f>
        <v>Shield-Bearer</v>
      </c>
      <c r="B84" s="30" t="str">
        <f>IFERROR(__xludf.DUMMYFUNCTION("""COMPUTED_VALUE"""),"Defence
Block %
Parry %
Charm")</f>
        <v>Defence
Block %
Parry %
Charm</v>
      </c>
      <c r="C84" s="30" t="str">
        <f>IFERROR(__xludf.DUMMYFUNCTION("""COMPUTED_VALUE"""),"10
1
1
5")</f>
        <v>10
1
1
5</v>
      </c>
      <c r="D84" s="30" t="str">
        <f>IFERROR(__xludf.DUMMYFUNCTION("""COMPUTED_VALUE"""),"12
1
1
6")</f>
        <v>12
1
1
6</v>
      </c>
      <c r="E84" s="30" t="str">
        <f>IFERROR(__xludf.DUMMYFUNCTION("""COMPUTED_VALUE"""),"15
1
1
8")</f>
        <v>15
1
1
8</v>
      </c>
      <c r="F84" s="30" t="str">
        <f>IFERROR(__xludf.DUMMYFUNCTION("""COMPUTED_VALUE"""),"20
2
2
10")</f>
        <v>20
2
2
10</v>
      </c>
      <c r="G84" s="30" t="str">
        <f>IFERROR(__xludf.DUMMYFUNCTION("""COMPUTED_VALUE"""),"--")</f>
        <v>--</v>
      </c>
      <c r="H84" s="42" t="str">
        <f>IFERROR(__xludf.DUMMYFUNCTION("""COMPUTED_VALUE"""),"Mini Medal Stamp: 5")</f>
        <v>Mini Medal Stamp: 5</v>
      </c>
      <c r="I84" s="45"/>
    </row>
    <row r="85">
      <c r="A85" s="41" t="str">
        <f>IFERROR(__xludf.DUMMYFUNCTION("""COMPUTED_VALUE"""),"Warlock")</f>
        <v>Warlock</v>
      </c>
      <c r="B85" s="31" t="str">
        <f>IFERROR(__xludf.DUMMYFUNCTION("""COMPUTED_VALUE"""),"Defence
Magic Might
Magic Mend
Charm")</f>
        <v>Defence
Magic Might
Magic Mend
Charm</v>
      </c>
      <c r="C85" s="31" t="str">
        <f>IFERROR(__xludf.DUMMYFUNCTION("""COMPUTED_VALUE"""),"2
3
3
5")</f>
        <v>2
3
3
5</v>
      </c>
      <c r="D85" s="31" t="str">
        <f>IFERROR(__xludf.DUMMYFUNCTION("""COMPUTED_VALUE"""),"2
5
5
6")</f>
        <v>2
5
5
6</v>
      </c>
      <c r="E85" s="31" t="str">
        <f>IFERROR(__xludf.DUMMYFUNCTION("""COMPUTED_VALUE"""),"2
7
7
8")</f>
        <v>2
7
7
8</v>
      </c>
      <c r="F85" s="31" t="str">
        <f>IFERROR(__xludf.DUMMYFUNCTION("""COMPUTED_VALUE"""),"3
10
10
10")</f>
        <v>3
10
10
10</v>
      </c>
      <c r="G85" s="31" t="str">
        <f>IFERROR(__xludf.DUMMYFUNCTION("""COMPUTED_VALUE"""),"Critical Spell Chance Increase (1/1/1/2%)")</f>
        <v>Critical Spell Chance Increase (1/1/1/2%)</v>
      </c>
      <c r="H85" s="41" t="str">
        <f>IFERROR(__xludf.DUMMYFUNCTION("""COMPUTED_VALUE"""),"Quest: My Secret Saint")</f>
        <v>Quest: My Secret Saint</v>
      </c>
      <c r="I85" s="46"/>
    </row>
    <row r="86">
      <c r="A86" s="42" t="str">
        <f>IFERROR(__xludf.DUMMYFUNCTION("""COMPUTED_VALUE"""),"Vanguard")</f>
        <v>Vanguard</v>
      </c>
      <c r="B86" s="30" t="str">
        <f>IFERROR(__xludf.DUMMYFUNCTION("""COMPUTED_VALUE"""),"Defence
Agility
Charm")</f>
        <v>Defence
Agility
Charm</v>
      </c>
      <c r="C86" s="30" t="str">
        <f>IFERROR(__xludf.DUMMYFUNCTION("""COMPUTED_VALUE"""),"2
10
5")</f>
        <v>2
10
5</v>
      </c>
      <c r="D86" s="30" t="str">
        <f>IFERROR(__xludf.DUMMYFUNCTION("""COMPUTED_VALUE"""),"2
11
6")</f>
        <v>2
11
6</v>
      </c>
      <c r="E86" s="30" t="str">
        <f>IFERROR(__xludf.DUMMYFUNCTION("""COMPUTED_VALUE"""),"2
13
8")</f>
        <v>2
13
8</v>
      </c>
      <c r="F86" s="30" t="str">
        <f>IFERROR(__xludf.DUMMYFUNCTION("""COMPUTED_VALUE"""),"3
15
10")</f>
        <v>3
15
10</v>
      </c>
      <c r="G86" s="30" t="str">
        <f>IFERROR(__xludf.DUMMYFUNCTION("""COMPUTED_VALUE"""),"Chance of Surprising Enemy (1/2/3/5%)")</f>
        <v>Chance of Surprising Enemy (1/2/3/5%)</v>
      </c>
      <c r="H86" s="42" t="str">
        <f>IFERROR(__xludf.DUMMYFUNCTION("""COMPUTED_VALUE"""),"Chest: The Champs Sauvage")</f>
        <v>Chest: The Champs Sauvage</v>
      </c>
      <c r="I86" s="45"/>
    </row>
    <row r="87">
      <c r="A87" s="41" t="str">
        <f>IFERROR(__xludf.DUMMYFUNCTION("""COMPUTED_VALUE"""),"Supplicant")</f>
        <v>Supplicant</v>
      </c>
      <c r="B87" s="31" t="str">
        <f>IFERROR(__xludf.DUMMYFUNCTION("""COMPUTED_VALUE"""),"Defence
Charm")</f>
        <v>Defence
Charm</v>
      </c>
      <c r="C87" s="31" t="str">
        <f>IFERROR(__xludf.DUMMYFUNCTION("""COMPUTED_VALUE"""),"2
5")</f>
        <v>2
5</v>
      </c>
      <c r="D87" s="31" t="str">
        <f>IFERROR(__xludf.DUMMYFUNCTION("""COMPUTED_VALUE"""),"2
6")</f>
        <v>2
6</v>
      </c>
      <c r="E87" s="31" t="str">
        <f>IFERROR(__xludf.DUMMYFUNCTION("""COMPUTED_VALUE"""),"2
8")</f>
        <v>2
8</v>
      </c>
      <c r="F87" s="31" t="str">
        <f>IFERROR(__xludf.DUMMYFUNCTION("""COMPUTED_VALUE"""),"3
10")</f>
        <v>3
10</v>
      </c>
      <c r="G87" s="31" t="str">
        <f>IFERROR(__xludf.DUMMYFUNCTION("""COMPUTED_VALUE"""),"MP/Turn (1/2/2/3)")</f>
        <v>MP/Turn (1/2/2/3)</v>
      </c>
      <c r="H87" s="41" t="str">
        <f>IFERROR(__xludf.DUMMYFUNCTION("""COMPUTED_VALUE"""),"Chest: Arboria")</f>
        <v>Chest: Arboria</v>
      </c>
      <c r="I87" s="41"/>
    </row>
    <row r="88">
      <c r="A88" s="42" t="str">
        <f>IFERROR(__xludf.DUMMYFUNCTION("""COMPUTED_VALUE"""),"Healer")</f>
        <v>Healer</v>
      </c>
      <c r="B88" s="30" t="str">
        <f>IFERROR(__xludf.DUMMYFUNCTION("""COMPUTED_VALUE"""),"Defence
Charm")</f>
        <v>Defence
Charm</v>
      </c>
      <c r="C88" s="30" t="str">
        <f>IFERROR(__xludf.DUMMYFUNCTION("""COMPUTED_VALUE"""),"2
5")</f>
        <v>2
5</v>
      </c>
      <c r="D88" s="30" t="str">
        <f>IFERROR(__xludf.DUMMYFUNCTION("""COMPUTED_VALUE"""),"2
6")</f>
        <v>2
6</v>
      </c>
      <c r="E88" s="30" t="str">
        <f>IFERROR(__xludf.DUMMYFUNCTION("""COMPUTED_VALUE"""),"2
8")</f>
        <v>2
8</v>
      </c>
      <c r="F88" s="30" t="str">
        <f>IFERROR(__xludf.DUMMYFUNCTION("""COMPUTED_VALUE"""),"3
10")</f>
        <v>3
10</v>
      </c>
      <c r="G88" s="30" t="str">
        <f>IFERROR(__xludf.DUMMYFUNCTION("""COMPUTED_VALUE"""),"HP/Turn (3/5/7/10)")</f>
        <v>HP/Turn (3/5/7/10)</v>
      </c>
      <c r="H88" s="42" t="str">
        <f>IFERROR(__xludf.DUMMYFUNCTION("""COMPUTED_VALUE"""),"Quest: Planting Seeds for the Future")</f>
        <v>Quest: Planting Seeds for the Future</v>
      </c>
      <c r="I88" s="42"/>
    </row>
    <row r="89">
      <c r="A89" s="41" t="str">
        <f>IFERROR(__xludf.DUMMYFUNCTION("""COMPUTED_VALUE"""),"Mystic")</f>
        <v>Mystic</v>
      </c>
      <c r="B89" s="31" t="str">
        <f>IFERROR(__xludf.DUMMYFUNCTION("""COMPUTED_VALUE"""),"Defence
Charm")</f>
        <v>Defence
Charm</v>
      </c>
      <c r="C89" s="31" t="str">
        <f>IFERROR(__xludf.DUMMYFUNCTION("""COMPUTED_VALUE"""),"2
5")</f>
        <v>2
5</v>
      </c>
      <c r="D89" s="31" t="str">
        <f>IFERROR(__xludf.DUMMYFUNCTION("""COMPUTED_VALUE"""),"2
6")</f>
        <v>2
6</v>
      </c>
      <c r="E89" s="31" t="str">
        <f>IFERROR(__xludf.DUMMYFUNCTION("""COMPUTED_VALUE"""),"2
8")</f>
        <v>2
8</v>
      </c>
      <c r="F89" s="31" t="str">
        <f>IFERROR(__xludf.DUMMYFUNCTION("""COMPUTED_VALUE"""),"3
10")</f>
        <v>3
10</v>
      </c>
      <c r="G89" s="31" t="str">
        <f>IFERROR(__xludf.DUMMYFUNCTION("""COMPUTED_VALUE"""),"Pep-Up Rate Increase (1/1/1/2%)")</f>
        <v>Pep-Up Rate Increase (1/1/1/2%)</v>
      </c>
      <c r="H89" s="41" t="str">
        <f>IFERROR(__xludf.DUMMYFUNCTION("""COMPUTED_VALUE"""),"Quest: Understanding Angri-La")</f>
        <v>Quest: Understanding Angri-La</v>
      </c>
      <c r="I89" s="46"/>
    </row>
    <row r="90">
      <c r="A90" s="55" t="str">
        <f>IFERROR(__xludf.DUMMYFUNCTION("""COMPUTED_VALUE"""),"Traveller's Hood")</f>
        <v>Traveller's Hood</v>
      </c>
      <c r="B90" s="30" t="str">
        <f>IFERROR(__xludf.DUMMYFUNCTION("""COMPUTED_VALUE"""),"Defence")</f>
        <v>Defence</v>
      </c>
      <c r="C90" s="30">
        <f>IFERROR(__xludf.DUMMYFUNCTION("""COMPUTED_VALUE"""),4.0)</f>
        <v>4</v>
      </c>
      <c r="D90" s="30">
        <f>IFERROR(__xludf.DUMMYFUNCTION("""COMPUTED_VALUE"""),5.0)</f>
        <v>5</v>
      </c>
      <c r="E90" s="30">
        <f>IFERROR(__xludf.DUMMYFUNCTION("""COMPUTED_VALUE"""),6.0)</f>
        <v>6</v>
      </c>
      <c r="F90" s="30">
        <f>IFERROR(__xludf.DUMMYFUNCTION("""COMPUTED_VALUE"""),8.0)</f>
        <v>8</v>
      </c>
      <c r="G90" s="30" t="str">
        <f>IFERROR(__xludf.DUMMYFUNCTION("""COMPUTED_VALUE"""),"--")</f>
        <v>--</v>
      </c>
      <c r="H90" s="71" t="str">
        <f>IFERROR(__xludf.DUMMYFUNCTION("""COMPUTED_VALUE"""),"Cabinet: Gallopolis Church")</f>
        <v>Cabinet: Gallopolis Church</v>
      </c>
      <c r="I90" s="42"/>
    </row>
    <row r="91">
      <c r="A91" s="41" t="str">
        <f>IFERROR(__xludf.DUMMYFUNCTION("""COMPUTED_VALUE"""),"Devil's Tail")</f>
        <v>Devil's Tail</v>
      </c>
      <c r="B91" s="31" t="str">
        <f>IFERROR(__xludf.DUMMYFUNCTION("""COMPUTED_VALUE"""),"Defence
Agility")</f>
        <v>Defence
Agility</v>
      </c>
      <c r="C91" s="31" t="str">
        <f>IFERROR(__xludf.DUMMYFUNCTION("""COMPUTED_VALUE"""),"2
10")</f>
        <v>2
10</v>
      </c>
      <c r="D91" s="31" t="str">
        <f>IFERROR(__xludf.DUMMYFUNCTION("""COMPUTED_VALUE"""),"3
12")</f>
        <v>3
12</v>
      </c>
      <c r="E91" s="31" t="str">
        <f>IFERROR(__xludf.DUMMYFUNCTION("""COMPUTED_VALUE"""),"4
14")</f>
        <v>4
14</v>
      </c>
      <c r="F91" s="31" t="str">
        <f>IFERROR(__xludf.DUMMYFUNCTION("""COMPUTED_VALUE"""),"5
17")</f>
        <v>5
17</v>
      </c>
      <c r="G91" s="31" t="str">
        <f>IFERROR(__xludf.DUMMYFUNCTION("""COMPUTED_VALUE"""),"Dark Damage Reduction (15/20/25/30%)
Curse Protection (15/20/25/30%)")</f>
        <v>Dark Damage Reduction (15/20/25/30%)
Curse Protection (15/20/25/30%)</v>
      </c>
      <c r="H91" s="41" t="str">
        <f>IFERROR(__xludf.DUMMYFUNCTION("""COMPUTED_VALUE"""),"Recipe: The Devil's in the Details
Common: Hooper Trooper, Barbatos Rare: Tap Devil, Caped Caperer ")</f>
        <v>Recipe: The Devil's in the Details
Common: Hooper Trooper, Barbatos Rare: Tap Devil, Caped Caperer </v>
      </c>
      <c r="I91" s="41" t="str">
        <f>IFERROR(__xludf.DUMMYFUNCTION("""COMPUTED_VALUE"""),"Grubby Bandage: 1
Fatalistick: 2")</f>
        <v>Grubby Bandage: 1
Fatalistick: 2</v>
      </c>
    </row>
    <row r="92">
      <c r="A92" s="42" t="str">
        <f>IFERROR(__xludf.DUMMYFUNCTION("""COMPUTED_VALUE"""),"Utility Belt")</f>
        <v>Utility Belt</v>
      </c>
      <c r="B92" s="30" t="str">
        <f>IFERROR(__xludf.DUMMYFUNCTION("""COMPUTED_VALUE"""),"Defence
Deftness")</f>
        <v>Defence
Deftness</v>
      </c>
      <c r="C92" s="30" t="str">
        <f>IFERROR(__xludf.DUMMYFUNCTION("""COMPUTED_VALUE"""),"2
15")</f>
        <v>2
15</v>
      </c>
      <c r="D92" s="30" t="str">
        <f>IFERROR(__xludf.DUMMYFUNCTION("""COMPUTED_VALUE"""),"3
16")</f>
        <v>3
16</v>
      </c>
      <c r="E92" s="30" t="str">
        <f>IFERROR(__xludf.DUMMYFUNCTION("""COMPUTED_VALUE"""),"4
18")</f>
        <v>4
18</v>
      </c>
      <c r="F92" s="30" t="str">
        <f>IFERROR(__xludf.DUMMYFUNCTION("""COMPUTED_VALUE"""),"5
20")</f>
        <v>5
20</v>
      </c>
      <c r="G92" s="30" t="str">
        <f>IFERROR(__xludf.DUMMYFUNCTION("""COMPUTED_VALUE"""),"--")</f>
        <v>--</v>
      </c>
      <c r="H92" s="42" t="str">
        <f>IFERROR(__xludf.DUMMYFUNCTION("""COMPUTED_VALUE"""),"Gondolia: 1100
Recipe: Your Crafting Career Starts Here")</f>
        <v>Gondolia: 1100
Recipe: Your Crafting Career Starts Here</v>
      </c>
      <c r="I92" s="42" t="str">
        <f>IFERROR(__xludf.DUMMYFUNCTION("""COMPUTED_VALUE"""),"Hardy Hide: 2
Celestial Skein: 1
Grubby Bandage: 1")</f>
        <v>Hardy Hide: 2
Celestial Skein: 1
Grubby Bandage: 1</v>
      </c>
    </row>
    <row r="93">
      <c r="A93" s="41" t="str">
        <f>IFERROR(__xludf.DUMMYFUNCTION("""COMPUTED_VALUE"""),"Rosary")</f>
        <v>Rosary</v>
      </c>
      <c r="B93" s="31" t="str">
        <f>IFERROR(__xludf.DUMMYFUNCTION("""COMPUTED_VALUE"""),"Magic Mend
Max MP")</f>
        <v>Magic Mend
Max MP</v>
      </c>
      <c r="C93" s="31" t="str">
        <f>IFERROR(__xludf.DUMMYFUNCTION("""COMPUTED_VALUE"""),"6
8")</f>
        <v>6
8</v>
      </c>
      <c r="D93" s="31" t="str">
        <f>IFERROR(__xludf.DUMMYFUNCTION("""COMPUTED_VALUE"""),"7
9")</f>
        <v>7
9</v>
      </c>
      <c r="E93" s="31" t="str">
        <f>IFERROR(__xludf.DUMMYFUNCTION("""COMPUTED_VALUE"""),"8
10")</f>
        <v>8
10</v>
      </c>
      <c r="F93" s="31" t="str">
        <f>IFERROR(__xludf.DUMMYFUNCTION("""COMPUTED_VALUE"""),"10
12")</f>
        <v>10
12</v>
      </c>
      <c r="G93" s="31" t="str">
        <f>IFERROR(__xludf.DUMMYFUNCTION("""COMPUTED_VALUE"""),"--")</f>
        <v>--</v>
      </c>
      <c r="H93" s="41" t="str">
        <f>IFERROR(__xludf.DUMMYFUNCTION("""COMPUTED_VALUE"""),"Recipe: My First Pearly Pieces
Rare: Steel Siren")</f>
        <v>Recipe: My First Pearly Pieces
Rare: Steel Siren</v>
      </c>
      <c r="I93" s="41" t="str">
        <f>IFERROR(__xludf.DUMMYFUNCTION("""COMPUTED_VALUE"""),"Pale Pearl: 1
Fresh Water: 3
Thinkincense: 1")</f>
        <v>Pale Pearl: 1
Fresh Water: 3
Thinkincense: 1</v>
      </c>
    </row>
    <row r="94">
      <c r="A94" s="42" t="str">
        <f>IFERROR(__xludf.DUMMYFUNCTION("""COMPUTED_VALUE"""),"Bling-Bling Belt")</f>
        <v>Bling-Bling Belt</v>
      </c>
      <c r="B94" s="30" t="str">
        <f>IFERROR(__xludf.DUMMYFUNCTION("""COMPUTED_VALUE"""),"Defence
Charm")</f>
        <v>Defence
Charm</v>
      </c>
      <c r="C94" s="30" t="str">
        <f>IFERROR(__xludf.DUMMYFUNCTION("""COMPUTED_VALUE"""),"2
11")</f>
        <v>2
11</v>
      </c>
      <c r="D94" s="30" t="str">
        <f>IFERROR(__xludf.DUMMYFUNCTION("""COMPUTED_VALUE"""),"3
12")</f>
        <v>3
12</v>
      </c>
      <c r="E94" s="30" t="str">
        <f>IFERROR(__xludf.DUMMYFUNCTION("""COMPUTED_VALUE"""),"4
14")</f>
        <v>4
14</v>
      </c>
      <c r="F94" s="30" t="str">
        <f>IFERROR(__xludf.DUMMYFUNCTION("""COMPUTED_VALUE"""),"5
16")</f>
        <v>5
16</v>
      </c>
      <c r="G94" s="30" t="str">
        <f>IFERROR(__xludf.DUMMYFUNCTION("""COMPUTED_VALUE"""),"--")</f>
        <v>--</v>
      </c>
      <c r="H94" s="42" t="str">
        <f>IFERROR(__xludf.DUMMYFUNCTION("""COMPUTED_VALUE"""),"Recipe: Fine and Dandy Designs")</f>
        <v>Recipe: Fine and Dandy Designs</v>
      </c>
      <c r="I94" s="42" t="str">
        <f>IFERROR(__xludf.DUMMYFUNCTION("""COMPUTED_VALUE"""),"Magic Beast Hide: 2
Silver Ore: 1
Sparkly Sap: 1")</f>
        <v>Magic Beast Hide: 2
Silver Ore: 1
Sparkly Sap: 1</v>
      </c>
    </row>
    <row r="95">
      <c r="A95" s="41" t="str">
        <f>IFERROR(__xludf.DUMMYFUNCTION("""COMPUTED_VALUE"""),"Tough Guy Tattoo")</f>
        <v>Tough Guy Tattoo</v>
      </c>
      <c r="B95" s="31" t="str">
        <f>IFERROR(__xludf.DUMMYFUNCTION("""COMPUTED_VALUE"""),"Attack")</f>
        <v>Attack</v>
      </c>
      <c r="C95" s="31">
        <f>IFERROR(__xludf.DUMMYFUNCTION("""COMPUTED_VALUE"""),8.0)</f>
        <v>8</v>
      </c>
      <c r="D95" s="31">
        <f>IFERROR(__xludf.DUMMYFUNCTION("""COMPUTED_VALUE"""),9.0)</f>
        <v>9</v>
      </c>
      <c r="E95" s="31">
        <f>IFERROR(__xludf.DUMMYFUNCTION("""COMPUTED_VALUE"""),10.0)</f>
        <v>10</v>
      </c>
      <c r="F95" s="31">
        <f>IFERROR(__xludf.DUMMYFUNCTION("""COMPUTED_VALUE"""),12.0)</f>
        <v>12</v>
      </c>
      <c r="G95" s="31" t="str">
        <f>IFERROR(__xludf.DUMMYFUNCTION("""COMPUTED_VALUE"""),"--")</f>
        <v>--</v>
      </c>
      <c r="H95" s="41" t="str">
        <f>IFERROR(__xludf.DUMMYFUNCTION("""COMPUTED_VALUE"""),"Octagonia: 2500
Common: Robbin' 'Ood, Troll, Hoodlum, Rare: Ghoul, Ursa Major")</f>
        <v>Octagonia: 2500
Common: Robbin' 'Ood, Troll, Hoodlum, Rare: Ghoul, Ursa Major</v>
      </c>
      <c r="I95" s="46"/>
    </row>
    <row r="96">
      <c r="A96" s="55" t="str">
        <f>IFERROR(__xludf.DUMMYFUNCTION("""COMPUTED_VALUE"""),"Fishnet Stockings")</f>
        <v>Fishnet Stockings</v>
      </c>
      <c r="B96" s="30" t="str">
        <f>IFERROR(__xludf.DUMMYFUNCTION("""COMPUTED_VALUE"""),"Defence
Charm")</f>
        <v>Defence
Charm</v>
      </c>
      <c r="C96" s="30" t="str">
        <f>IFERROR(__xludf.DUMMYFUNCTION("""COMPUTED_VALUE"""),"8
15")</f>
        <v>8
15</v>
      </c>
      <c r="D96" s="30" t="str">
        <f>IFERROR(__xludf.DUMMYFUNCTION("""COMPUTED_VALUE"""),"8
16")</f>
        <v>8
16</v>
      </c>
      <c r="E96" s="30" t="str">
        <f>IFERROR(__xludf.DUMMYFUNCTION("""COMPUTED_VALUE"""),"9
17")</f>
        <v>9
17</v>
      </c>
      <c r="F96" s="30" t="str">
        <f>IFERROR(__xludf.DUMMYFUNCTION("""COMPUTED_VALUE"""),"10
19")</f>
        <v>10
19</v>
      </c>
      <c r="G96" s="30" t="str">
        <f>IFERROR(__xludf.DUMMYFUNCTION("""COMPUTED_VALUE"""),"--")</f>
        <v>--</v>
      </c>
      <c r="H96" s="42" t="str">
        <f>IFERROR(__xludf.DUMMYFUNCTION("""COMPUTED_VALUE"""),"Recipe: Down the Rabbithole
Common: Vampire Succubat, Rare: Smacker")</f>
        <v>Recipe: Down the Rabbithole
Common: Vampire Succubat, Rare: Smacker</v>
      </c>
      <c r="I96" s="42" t="str">
        <f>IFERROR(__xludf.DUMMYFUNCTION("""COMPUTED_VALUE"""),"Faerie Fluff: 1
Celestial Skein: 1")</f>
        <v>Faerie Fluff: 1
Celestial Skein: 1</v>
      </c>
    </row>
    <row r="97">
      <c r="A97" s="41" t="str">
        <f>IFERROR(__xludf.DUMMYFUNCTION("""COMPUTED_VALUE"""),"Garter")</f>
        <v>Garter</v>
      </c>
      <c r="B97" s="31" t="str">
        <f>IFERROR(__xludf.DUMMYFUNCTION("""COMPUTED_VALUE"""),"Defence
Charm")</f>
        <v>Defence
Charm</v>
      </c>
      <c r="C97" s="31" t="str">
        <f>IFERROR(__xludf.DUMMYFUNCTION("""COMPUTED_VALUE"""),"13
25")</f>
        <v>13
25</v>
      </c>
      <c r="D97" s="31" t="str">
        <f>IFERROR(__xludf.DUMMYFUNCTION("""COMPUTED_VALUE"""),"14
26")</f>
        <v>14
26</v>
      </c>
      <c r="E97" s="31" t="str">
        <f>IFERROR(__xludf.DUMMYFUNCTION("""COMPUTED_VALUE"""),"15
27")</f>
        <v>15
27</v>
      </c>
      <c r="F97" s="31" t="str">
        <f>IFERROR(__xludf.DUMMYFUNCTION("""COMPUTED_VALUE"""),"16
30")</f>
        <v>16
30</v>
      </c>
      <c r="G97" s="31" t="str">
        <f>IFERROR(__xludf.DUMMYFUNCTION("""COMPUTED_VALUE"""),"--")</f>
        <v>--</v>
      </c>
      <c r="H97" s="48" t="str">
        <f>IFERROR(__xludf.DUMMYFUNCTION("""COMPUTED_VALUE"""),"Sniflheim: 1000
Quest: A Rush of Blood")</f>
        <v>Sniflheim: 1000
Quest: A Rush of Blood</v>
      </c>
      <c r="I97" s="41"/>
    </row>
    <row r="98">
      <c r="A98" s="42" t="str">
        <f>IFERROR(__xludf.DUMMYFUNCTION("""COMPUTED_VALUE"""),"Dragon Scale")</f>
        <v>Dragon Scale</v>
      </c>
      <c r="B98" s="30" t="str">
        <f>IFERROR(__xludf.DUMMYFUNCTION("""COMPUTED_VALUE"""),"Attack
Defence")</f>
        <v>Attack
Defence</v>
      </c>
      <c r="C98" s="30" t="str">
        <f>IFERROR(__xludf.DUMMYFUNCTION("""COMPUTED_VALUE"""),"9
8")</f>
        <v>9
8</v>
      </c>
      <c r="D98" s="30" t="str">
        <f>IFERROR(__xludf.DUMMYFUNCTION("""COMPUTED_VALUE"""),"10
9")</f>
        <v>10
9</v>
      </c>
      <c r="E98" s="30" t="str">
        <f>IFERROR(__xludf.DUMMYFUNCTION("""COMPUTED_VALUE"""),"11
10")</f>
        <v>11
10</v>
      </c>
      <c r="F98" s="30" t="str">
        <f>IFERROR(__xludf.DUMMYFUNCTION("""COMPUTED_VALUE"""),"12
11")</f>
        <v>12
11</v>
      </c>
      <c r="G98" s="30" t="str">
        <f>IFERROR(__xludf.DUMMYFUNCTION("""COMPUTED_VALUE"""),"--")</f>
        <v>--</v>
      </c>
      <c r="H98" s="42" t="str">
        <f>IFERROR(__xludf.DUMMYFUNCTION("""COMPUTED_VALUE"""),"Rare: Dragurn, Ethereal Serpent")</f>
        <v>Rare: Dragurn, Ethereal Serpent</v>
      </c>
      <c r="I98" s="42"/>
    </row>
    <row r="99">
      <c r="A99" s="41" t="str">
        <f>IFERROR(__xludf.DUMMYFUNCTION("""COMPUTED_VALUE"""),"Belle's Bow")</f>
        <v>Belle's Bow</v>
      </c>
      <c r="B99" s="31" t="str">
        <f>IFERROR(__xludf.DUMMYFUNCTION("""COMPUTED_VALUE"""),"Defence
Charm")</f>
        <v>Defence
Charm</v>
      </c>
      <c r="C99" s="31" t="str">
        <f>IFERROR(__xludf.DUMMYFUNCTION("""COMPUTED_VALUE"""),"10
20")</f>
        <v>10
20</v>
      </c>
      <c r="D99" s="31" t="str">
        <f>IFERROR(__xludf.DUMMYFUNCTION("""COMPUTED_VALUE"""),"11
21")</f>
        <v>11
21</v>
      </c>
      <c r="E99" s="31" t="str">
        <f>IFERROR(__xludf.DUMMYFUNCTION("""COMPUTED_VALUE"""),"13
23")</f>
        <v>13
23</v>
      </c>
      <c r="F99" s="31" t="str">
        <f>IFERROR(__xludf.DUMMYFUNCTION("""COMPUTED_VALUE"""),"15
25")</f>
        <v>15
25</v>
      </c>
      <c r="G99" s="31" t="str">
        <f>IFERROR(__xludf.DUMMYFUNCTION("""COMPUTED_VALUE"""),"MP/Turn (3/4/5/6)")</f>
        <v>MP/Turn (3/4/5/6)</v>
      </c>
      <c r="H99" s="41" t="str">
        <f>IFERROR(__xludf.DUMMYFUNCTION("""COMPUTED_VALUE"""),"Quest: A Memorable Message")</f>
        <v>Quest: A Memorable Message</v>
      </c>
      <c r="I99" s="41"/>
    </row>
    <row r="100">
      <c r="A100" s="55" t="str">
        <f>IFERROR(__xludf.DUMMYFUNCTION("""COMPUTED_VALUE"""),"Natty Cravat")</f>
        <v>Natty Cravat</v>
      </c>
      <c r="B100" s="30" t="str">
        <f>IFERROR(__xludf.DUMMYFUNCTION("""COMPUTED_VALUE"""),"Defence
Evasion %
Deftness
Charm")</f>
        <v>Defence
Evasion %
Deftness
Charm</v>
      </c>
      <c r="C100" s="30" t="str">
        <f>IFERROR(__xludf.DUMMYFUNCTION("""COMPUTED_VALUE"""),"6
2
22
23")</f>
        <v>6
2
22
23</v>
      </c>
      <c r="D100" s="30" t="str">
        <f>IFERROR(__xludf.DUMMYFUNCTION("""COMPUTED_VALUE"""),"6
2
24
25")</f>
        <v>6
2
24
25</v>
      </c>
      <c r="E100" s="30" t="str">
        <f>IFERROR(__xludf.DUMMYFUNCTION("""COMPUTED_VALUE"""),"6
3
26
27")</f>
        <v>6
3
26
27</v>
      </c>
      <c r="F100" s="30" t="str">
        <f>IFERROR(__xludf.DUMMYFUNCTION("""COMPUTED_VALUE"""),"7
4
28
30")</f>
        <v>7
4
28
30</v>
      </c>
      <c r="G100" s="30" t="str">
        <f>IFERROR(__xludf.DUMMYFUNCTION("""COMPUTED_VALUE"""),"--")</f>
        <v>--</v>
      </c>
      <c r="H100" s="42" t="str">
        <f>IFERROR(__xludf.DUMMYFUNCTION("""COMPUTED_VALUE"""),"Recipe: The Dapper Chap")</f>
        <v>Recipe: The Dapper Chap</v>
      </c>
      <c r="I100" s="42" t="str">
        <f>IFERROR(__xludf.DUMMYFUNCTION("""COMPUTED_VALUE"""),"Silkblossom: 1
Glimmergrass: 1
Celestial Skein: 1")</f>
        <v>Silkblossom: 1
Glimmergrass: 1
Celestial Skein: 1</v>
      </c>
    </row>
    <row r="101">
      <c r="A101" s="41" t="str">
        <f>IFERROR(__xludf.DUMMYFUNCTION("""COMPUTED_VALUE"""),"Sorcerer's Stone")</f>
        <v>Sorcerer's Stone</v>
      </c>
      <c r="B101" s="31" t="str">
        <f>IFERROR(__xludf.DUMMYFUNCTION("""COMPUTED_VALUE"""),"Magic Might
Magic Mend")</f>
        <v>Magic Might
Magic Mend</v>
      </c>
      <c r="C101" s="31" t="str">
        <f>IFERROR(__xludf.DUMMYFUNCTION("""COMPUTED_VALUE"""),"14
13")</f>
        <v>14
13</v>
      </c>
      <c r="D101" s="31" t="str">
        <f>IFERROR(__xludf.DUMMYFUNCTION("""COMPUTED_VALUE"""),"15
14")</f>
        <v>15
14</v>
      </c>
      <c r="E101" s="31" t="str">
        <f>IFERROR(__xludf.DUMMYFUNCTION("""COMPUTED_VALUE"""),"16
15")</f>
        <v>16
15</v>
      </c>
      <c r="F101" s="31" t="str">
        <f>IFERROR(__xludf.DUMMYFUNCTION("""COMPUTED_VALUE"""),"17
17")</f>
        <v>17
17</v>
      </c>
      <c r="G101" s="31" t="str">
        <f>IFERROR(__xludf.DUMMYFUNCTION("""COMPUTED_VALUE"""),"--")</f>
        <v>--</v>
      </c>
      <c r="H101" s="41" t="str">
        <f>IFERROR(__xludf.DUMMYFUNCTION("""COMPUTED_VALUE"""),"Recipe: Little Lifesavers")</f>
        <v>Recipe: Little Lifesavers</v>
      </c>
      <c r="I101" s="41" t="str">
        <f>IFERROR(__xludf.DUMMYFUNCTION("""COMPUTED_VALUE"""),"Gold Ore: 2
Sparkly Sap: 1
Equable Emerald: 1")</f>
        <v>Gold Ore: 2
Sparkly Sap: 1
Equable Emerald: 1</v>
      </c>
    </row>
    <row r="102">
      <c r="A102" s="42" t="str">
        <f>IFERROR(__xludf.DUMMYFUNCTION("""COMPUTED_VALUE"""),"Titan Belt")</f>
        <v>Titan Belt</v>
      </c>
      <c r="B102" s="30" t="str">
        <f>IFERROR(__xludf.DUMMYFUNCTION("""COMPUTED_VALUE"""),"Attack
Defence")</f>
        <v>Attack
Defence</v>
      </c>
      <c r="C102" s="30" t="str">
        <f>IFERROR(__xludf.DUMMYFUNCTION("""COMPUTED_VALUE"""),"12
5")</f>
        <v>12
5</v>
      </c>
      <c r="D102" s="30" t="str">
        <f>IFERROR(__xludf.DUMMYFUNCTION("""COMPUTED_VALUE"""),"13
6")</f>
        <v>13
6</v>
      </c>
      <c r="E102" s="30" t="str">
        <f>IFERROR(__xludf.DUMMYFUNCTION("""COMPUTED_VALUE"""),"14
7")</f>
        <v>14
7</v>
      </c>
      <c r="F102" s="30" t="str">
        <f>IFERROR(__xludf.DUMMYFUNCTION("""COMPUTED_VALUE"""),"15
8")</f>
        <v>15
8</v>
      </c>
      <c r="G102" s="30" t="str">
        <f>IFERROR(__xludf.DUMMYFUNCTION("""COMPUTED_VALUE"""),"--")</f>
        <v>--</v>
      </c>
      <c r="H102" s="42" t="str">
        <f>IFERROR(__xludf.DUMMYFUNCTION("""COMPUTED_VALUE"""),"Recipe: An Encyclopaedia of Expert Equipment
Common: Badonis, Rare: Ursa Panda (Rarefied)")</f>
        <v>Recipe: An Encyclopaedia of Expert Equipment
Common: Badonis, Rare: Ursa Panda (Rarefied)</v>
      </c>
      <c r="I102" s="42" t="str">
        <f>IFERROR(__xludf.DUMMYFUNCTION("""COMPUTED_VALUE"""),"Finessence: 2
Dragon Horn: 1
Dragon Hide: 1")</f>
        <v>Finessence: 2
Dragon Horn: 1
Dragon Hide: 1</v>
      </c>
    </row>
    <row r="103">
      <c r="A103" s="41" t="str">
        <f>IFERROR(__xludf.DUMMYFUNCTION("""COMPUTED_VALUE"""),"Holy Talisman")</f>
        <v>Holy Talisman</v>
      </c>
      <c r="B103" s="31" t="str">
        <f>IFERROR(__xludf.DUMMYFUNCTION("""COMPUTED_VALUE"""),"Defence")</f>
        <v>Defence</v>
      </c>
      <c r="C103" s="31">
        <f>IFERROR(__xludf.DUMMYFUNCTION("""COMPUTED_VALUE"""),5.0)</f>
        <v>5</v>
      </c>
      <c r="D103" s="31">
        <f>IFERROR(__xludf.DUMMYFUNCTION("""COMPUTED_VALUE"""),6.0)</f>
        <v>6</v>
      </c>
      <c r="E103" s="31">
        <f>IFERROR(__xludf.DUMMYFUNCTION("""COMPUTED_VALUE"""),7.0)</f>
        <v>7</v>
      </c>
      <c r="F103" s="31">
        <f>IFERROR(__xludf.DUMMYFUNCTION("""COMPUTED_VALUE"""),8.0)</f>
        <v>8</v>
      </c>
      <c r="G103" s="31" t="str">
        <f>IFERROR(__xludf.DUMMYFUNCTION("""COMPUTED_VALUE"""),"Insta-Death Protection (10/15/20/25%)")</f>
        <v>Insta-Death Protection (10/15/20/25%)</v>
      </c>
      <c r="H103" s="41" t="str">
        <f>IFERROR(__xludf.DUMMYFUNCTION("""COMPUTED_VALUE"""),"Cobblestone: 2400")</f>
        <v>Cobblestone: 2400</v>
      </c>
      <c r="I103" s="41"/>
    </row>
    <row r="104">
      <c r="A104" s="42" t="str">
        <f>IFERROR(__xludf.DUMMYFUNCTION("""COMPUTED_VALUE"""),"Ruby of Protection")</f>
        <v>Ruby of Protection</v>
      </c>
      <c r="B104" s="30" t="str">
        <f>IFERROR(__xludf.DUMMYFUNCTION("""COMPUTED_VALUE"""),"Defence")</f>
        <v>Defence</v>
      </c>
      <c r="C104" s="30">
        <f>IFERROR(__xludf.DUMMYFUNCTION("""COMPUTED_VALUE"""),16.0)</f>
        <v>16</v>
      </c>
      <c r="D104" s="30">
        <f>IFERROR(__xludf.DUMMYFUNCTION("""COMPUTED_VALUE"""),17.0)</f>
        <v>17</v>
      </c>
      <c r="E104" s="30">
        <f>IFERROR(__xludf.DUMMYFUNCTION("""COMPUTED_VALUE"""),18.0)</f>
        <v>18</v>
      </c>
      <c r="F104" s="30">
        <f>IFERROR(__xludf.DUMMYFUNCTION("""COMPUTED_VALUE"""),20.0)</f>
        <v>20</v>
      </c>
      <c r="G104" s="30" t="str">
        <f>IFERROR(__xludf.DUMMYFUNCTION("""COMPUTED_VALUE"""),"--")</f>
        <v>--</v>
      </c>
      <c r="H104" s="42" t="str">
        <f>IFERROR(__xludf.DUMMYFUNCTION("""COMPUTED_VALUE"""),"Recipe: Sage Advice
Rare: Elysium Bird, Lunar Chimaera (Rarefied)")</f>
        <v>Recipe: Sage Advice
Rare: Elysium Bird, Lunar Chimaera (Rarefied)</v>
      </c>
      <c r="I104" s="42" t="str">
        <f>IFERROR(__xludf.DUMMYFUNCTION("""COMPUTED_VALUE"""),"Artful Amethyst: 2
Serpent Skin: 1
Large Scale: 2
Pale Pearl: 1")</f>
        <v>Artful Amethyst: 2
Serpent Skin: 1
Large Scale: 2
Pale Pearl: 1</v>
      </c>
    </row>
    <row r="105">
      <c r="A105" s="41" t="str">
        <f>IFERROR(__xludf.DUMMYFUNCTION("""COMPUTED_VALUE"""),"Venus' Tear")</f>
        <v>Venus' Tear</v>
      </c>
      <c r="B105" s="31" t="str">
        <f>IFERROR(__xludf.DUMMYFUNCTION("""COMPUTED_VALUE"""),"Defence
Charm")</f>
        <v>Defence
Charm</v>
      </c>
      <c r="C105" s="31" t="str">
        <f>IFERROR(__xludf.DUMMYFUNCTION("""COMPUTED_VALUE"""),"7
35")</f>
        <v>7
35</v>
      </c>
      <c r="D105" s="31" t="str">
        <f>IFERROR(__xludf.DUMMYFUNCTION("""COMPUTED_VALUE"""),"8
36")</f>
        <v>8
36</v>
      </c>
      <c r="E105" s="31" t="str">
        <f>IFERROR(__xludf.DUMMYFUNCTION("""COMPUTED_VALUE"""),"9
38")</f>
        <v>9
38</v>
      </c>
      <c r="F105" s="31" t="str">
        <f>IFERROR(__xludf.DUMMYFUNCTION("""COMPUTED_VALUE"""),"10
40")</f>
        <v>10
40</v>
      </c>
      <c r="G105" s="31" t="str">
        <f>IFERROR(__xludf.DUMMYFUNCTION("""COMPUTED_VALUE"""),"Lightning Damage Reduction (25/30/35/40%)
Wind Damage Reduction (25/30/35/40%)")</f>
        <v>Lightning Damage Reduction (25/30/35/40%)
Wind Damage Reduction (25/30/35/40%)</v>
      </c>
      <c r="H105" s="41" t="str">
        <f>IFERROR(__xludf.DUMMYFUNCTION("""COMPUTED_VALUE"""),"Quest: Measure of a Man
Recipe: Good Godly Gear")</f>
        <v>Quest: Measure of a Man
Recipe: Good Godly Gear</v>
      </c>
      <c r="I105" s="41" t="str">
        <f>IFERROR(__xludf.DUMMYFUNCTION("""COMPUTED_VALUE"""),"Savvy Sapphire: 2
Glass Frit: 3
Pink Pearl: 1
Rippledrops: 2")</f>
        <v>Savvy Sapphire: 2
Glass Frit: 3
Pink Pearl: 1
Rippledrops: 2</v>
      </c>
    </row>
    <row r="106">
      <c r="A106" s="42" t="str">
        <f>IFERROR(__xludf.DUMMYFUNCTION("""COMPUTED_VALUE"""),"Sovereign Seal")</f>
        <v>Sovereign Seal</v>
      </c>
      <c r="B106" s="30" t="str">
        <f>IFERROR(__xludf.DUMMYFUNCTION("""COMPUTED_VALUE"""),"Defence
Charm")</f>
        <v>Defence
Charm</v>
      </c>
      <c r="C106" s="30" t="str">
        <f>IFERROR(__xludf.DUMMYFUNCTION("""COMPUTED_VALUE"""),"7
35")</f>
        <v>7
35</v>
      </c>
      <c r="D106" s="30" t="str">
        <f>IFERROR(__xludf.DUMMYFUNCTION("""COMPUTED_VALUE"""),"8
36")</f>
        <v>8
36</v>
      </c>
      <c r="E106" s="30" t="str">
        <f>IFERROR(__xludf.DUMMYFUNCTION("""COMPUTED_VALUE"""),"9
38")</f>
        <v>9
38</v>
      </c>
      <c r="F106" s="30" t="str">
        <f>IFERROR(__xludf.DUMMYFUNCTION("""COMPUTED_VALUE"""),"10
40")</f>
        <v>10
40</v>
      </c>
      <c r="G106" s="30" t="str">
        <f>IFERROR(__xludf.DUMMYFUNCTION("""COMPUTED_VALUE"""),"Ice Damage Reduction (25/30/35/40%)
Dark Damage Reduction (25/30/35/40%)")</f>
        <v>Ice Damage Reduction (25/30/35/40%)
Dark Damage Reduction (25/30/35/40%)</v>
      </c>
      <c r="H106" s="42" t="str">
        <f>IFERROR(__xludf.DUMMYFUNCTION("""COMPUTED_VALUE"""),"Recipe: Badges of Honour
Rare: Blizzybody, Clockwyrm (Rarefied)")</f>
        <v>Recipe: Badges of Honour
Rare: Blizzybody, Clockwyrm (Rarefied)</v>
      </c>
      <c r="I106" s="42" t="str">
        <f>IFERROR(__xludf.DUMMYFUNCTION("""COMPUTED_VALUE"""),"Gold Nuglet: 2
Sun-Bleached Seashell: 2
Artful Amethyst: 2")</f>
        <v>Gold Nuglet: 2
Sun-Bleached Seashell: 2
Artful Amethyst: 2</v>
      </c>
    </row>
    <row r="107">
      <c r="A107" s="41" t="str">
        <f>IFERROR(__xludf.DUMMYFUNCTION("""COMPUTED_VALUE"""),"Lucky Dragon's Wing")</f>
        <v>Lucky Dragon's Wing</v>
      </c>
      <c r="B107" s="31" t="str">
        <f>IFERROR(__xludf.DUMMYFUNCTION("""COMPUTED_VALUE"""),"Defence")</f>
        <v>Defence</v>
      </c>
      <c r="C107" s="31">
        <f>IFERROR(__xludf.DUMMYFUNCTION("""COMPUTED_VALUE"""),7.0)</f>
        <v>7</v>
      </c>
      <c r="D107" s="31">
        <f>IFERROR(__xludf.DUMMYFUNCTION("""COMPUTED_VALUE"""),8.0)</f>
        <v>8</v>
      </c>
      <c r="E107" s="31">
        <f>IFERROR(__xludf.DUMMYFUNCTION("""COMPUTED_VALUE"""),9.0)</f>
        <v>9</v>
      </c>
      <c r="F107" s="31">
        <f>IFERROR(__xludf.DUMMYFUNCTION("""COMPUTED_VALUE"""),10.0)</f>
        <v>10</v>
      </c>
      <c r="G107" s="31" t="str">
        <f>IFERROR(__xludf.DUMMYFUNCTION("""COMPUTED_VALUE"""),"Fire Damage Reduction (25/30/35/40%)
Light Damage Reduction (25/30/35/40%)")</f>
        <v>Fire Damage Reduction (25/30/35/40%)
Light Damage Reduction (25/30/35/40%)</v>
      </c>
      <c r="H107" s="41" t="str">
        <f>IFERROR(__xludf.DUMMYFUNCTION("""COMPUTED_VALUE"""),"Recipe: Get Your Drag-On
Rare: Liege Lizard")</f>
        <v>Recipe: Get Your Drag-On
Rare: Liege Lizard</v>
      </c>
      <c r="I107" s="41" t="str">
        <f>IFERROR(__xludf.DUMMYFUNCTION("""COMPUTED_VALUE"""),"Dracolyte: 2
Saint's Ashes: 1
Serpent Skin: 2
Serpent Bone: 2")</f>
        <v>Dracolyte: 2
Saint's Ashes: 1
Serpent Skin: 2
Serpent Bone: 2</v>
      </c>
    </row>
    <row r="108">
      <c r="A108" s="42" t="str">
        <f>IFERROR(__xludf.DUMMYFUNCTION("""COMPUTED_VALUE"""),"Earthwyrm's Eye")</f>
        <v>Earthwyrm's Eye</v>
      </c>
      <c r="B108" s="30" t="str">
        <f>IFERROR(__xludf.DUMMYFUNCTION("""COMPUTED_VALUE"""),"Defence
Max HP
Charm")</f>
        <v>Defence
Max HP
Charm</v>
      </c>
      <c r="C108" s="30" t="str">
        <f>IFERROR(__xludf.DUMMYFUNCTION("""COMPUTED_VALUE"""),"7
16
35")</f>
        <v>7
16
35</v>
      </c>
      <c r="D108" s="30" t="str">
        <f>IFERROR(__xludf.DUMMYFUNCTION("""COMPUTED_VALUE"""),"8
17
36")</f>
        <v>8
17
36</v>
      </c>
      <c r="E108" s="30" t="str">
        <f>IFERROR(__xludf.DUMMYFUNCTION("""COMPUTED_VALUE"""),"9
18
38")</f>
        <v>9
18
38</v>
      </c>
      <c r="F108" s="30" t="str">
        <f>IFERROR(__xludf.DUMMYFUNCTION("""COMPUTED_VALUE"""),"10
20
40")</f>
        <v>10
20
40</v>
      </c>
      <c r="G108" s="30" t="str">
        <f>IFERROR(__xludf.DUMMYFUNCTION("""COMPUTED_VALUE"""),"Earth Damage Reduction (25/30/40/50%)")</f>
        <v>Earth Damage Reduction (25/30/40/50%)</v>
      </c>
      <c r="H108" s="42" t="str">
        <f>IFERROR(__xludf.DUMMYFUNCTION("""COMPUTED_VALUE"""),"Recipe: Get Your Drag-On
Rare: Cactolotl, Gaia Dragon")</f>
        <v>Recipe: Get Your Drag-On
Rare: Cactolotl, Gaia Dragon</v>
      </c>
      <c r="I108" s="42" t="str">
        <f>IFERROR(__xludf.DUMMYFUNCTION("""COMPUTED_VALUE"""),"Serpent's Soul: 1
Saint's Ashes: 1
Dracolyte: 1")</f>
        <v>Serpent's Soul: 1
Saint's Ashes: 1
Dracolyte: 1</v>
      </c>
    </row>
    <row r="109">
      <c r="A109" s="56" t="str">
        <f>IFERROR(__xludf.DUMMYFUNCTION("""COMPUTED_VALUE"""),"Suave Scarf")</f>
        <v>Suave Scarf</v>
      </c>
      <c r="B109" s="31" t="str">
        <f>IFERROR(__xludf.DUMMYFUNCTION("""COMPUTED_VALUE"""),"Defence
Evasion %
Deftness
Charm")</f>
        <v>Defence
Evasion %
Deftness
Charm</v>
      </c>
      <c r="C109" s="31" t="str">
        <f>IFERROR(__xludf.DUMMYFUNCTION("""COMPUTED_VALUE"""),"10
4
50
48")</f>
        <v>10
4
50
48</v>
      </c>
      <c r="D109" s="31" t="str">
        <f>IFERROR(__xludf.DUMMYFUNCTION("""COMPUTED_VALUE"""),"11
4
51
49")</f>
        <v>11
4
51
49</v>
      </c>
      <c r="E109" s="31" t="str">
        <f>IFERROR(__xludf.DUMMYFUNCTION("""COMPUTED_VALUE"""),"12
4
52
50")</f>
        <v>12
4
52
50</v>
      </c>
      <c r="F109" s="31" t="str">
        <f>IFERROR(__xludf.DUMMYFUNCTION("""COMPUTED_VALUE"""),"13
4
53
52")</f>
        <v>13
4
53
52</v>
      </c>
      <c r="G109" s="31" t="str">
        <f>IFERROR(__xludf.DUMMYFUNCTION("""COMPUTED_VALUE"""),"--")</f>
        <v>--</v>
      </c>
      <c r="H109" s="41" t="str">
        <f>IFERROR(__xludf.DUMMYFUNCTION("""COMPUTED_VALUE"""),"Recipe: Dress to Impress")</f>
        <v>Recipe: Dress to Impress</v>
      </c>
      <c r="I109" s="41" t="str">
        <f>IFERROR(__xludf.DUMMYFUNCTION("""COMPUTED_VALUE"""),"Colourful Cocoon: 2
Buzzberries: 2
Royal Ruby: 2
Sparkly Sap: 2")</f>
        <v>Colourful Cocoon: 2
Buzzberries: 2
Royal Ruby: 2
Sparkly Sap: 2</v>
      </c>
    </row>
    <row r="110">
      <c r="A110" s="42" t="str">
        <f>IFERROR(__xludf.DUMMYFUNCTION("""COMPUTED_VALUE"""),"Monarchic Mark")</f>
        <v>Monarchic Mark</v>
      </c>
      <c r="B110" s="30" t="str">
        <f>IFERROR(__xludf.DUMMYFUNCTION("""COMPUTED_VALUE"""),"Defence
Magic Might
Magic Mend")</f>
        <v>Defence
Magic Might
Magic Mend</v>
      </c>
      <c r="C110" s="30" t="str">
        <f>IFERROR(__xludf.DUMMYFUNCTION("""COMPUTED_VALUE"""),"10
30
30")</f>
        <v>10
30
30</v>
      </c>
      <c r="D110" s="30" t="str">
        <f>IFERROR(__xludf.DUMMYFUNCTION("""COMPUTED_VALUE"""),"11
31
31")</f>
        <v>11
31
31</v>
      </c>
      <c r="E110" s="30" t="str">
        <f>IFERROR(__xludf.DUMMYFUNCTION("""COMPUTED_VALUE"""),"13
33
33")</f>
        <v>13
33
33</v>
      </c>
      <c r="F110" s="30" t="str">
        <f>IFERROR(__xludf.DUMMYFUNCTION("""COMPUTED_VALUE"""),"15
35
35")</f>
        <v>15
35
35</v>
      </c>
      <c r="G110" s="30" t="str">
        <f>IFERROR(__xludf.DUMMYFUNCTION("""COMPUTED_VALUE"""),"--")</f>
        <v>--</v>
      </c>
      <c r="H110" s="42" t="str">
        <f>IFERROR(__xludf.DUMMYFUNCTION("""COMPUTED_VALUE"""),"Recipe: Badges of Honour
Rare: Type G0 (Rarefied)")</f>
        <v>Recipe: Badges of Honour
Rare: Type G0 (Rarefied)</v>
      </c>
      <c r="I110" s="42" t="str">
        <f>IFERROR(__xludf.DUMMYFUNCTION("""COMPUTED_VALUE"""),"Gold Nuglet: 2
Pale Pearl: 2
Savvy Sapphire: 2")</f>
        <v>Gold Nuglet: 2
Pale Pearl: 2
Savvy Sapphire: 2</v>
      </c>
    </row>
    <row r="111">
      <c r="A111" s="41" t="str">
        <f>IFERROR(__xludf.DUMMYFUNCTION("""COMPUTED_VALUE"""),"Elfin Charm")</f>
        <v>Elfin Charm</v>
      </c>
      <c r="B111" s="31" t="str">
        <f>IFERROR(__xludf.DUMMYFUNCTION("""COMPUTED_VALUE"""),"Defence")</f>
        <v>Defence</v>
      </c>
      <c r="C111" s="31">
        <f>IFERROR(__xludf.DUMMYFUNCTION("""COMPUTED_VALUE"""),10.0)</f>
        <v>10</v>
      </c>
      <c r="D111" s="31">
        <f>IFERROR(__xludf.DUMMYFUNCTION("""COMPUTED_VALUE"""),11.0)</f>
        <v>11</v>
      </c>
      <c r="E111" s="31">
        <f>IFERROR(__xludf.DUMMYFUNCTION("""COMPUTED_VALUE"""),13.0)</f>
        <v>13</v>
      </c>
      <c r="F111" s="31">
        <f>IFERROR(__xludf.DUMMYFUNCTION("""COMPUTED_VALUE"""),15.0)</f>
        <v>15</v>
      </c>
      <c r="G111" s="31" t="str">
        <f>IFERROR(__xludf.DUMMYFUNCTION("""COMPUTED_VALUE"""),"Sleep &amp; Confusion Protection (20/30/40/50%)
Spell-Block &amp; Insta-Death Protection (20/30/40/50%)
Turn Skip Protection (20/30/40/50%)
MP Theft Reduction (20/30/40/50%)")</f>
        <v>Sleep &amp; Confusion Protection (20/30/40/50%)
Spell-Block &amp; Insta-Death Protection (20/30/40/50%)
Turn Skip Protection (20/30/40/50%)
MP Theft Reduction (20/30/40/50%)</v>
      </c>
      <c r="H111" s="41" t="str">
        <f>IFERROR(__xludf.DUMMYFUNCTION("""COMPUTED_VALUE"""),"Recipe: Upper-Class Accesories")</f>
        <v>Recipe: Upper-Class Accesories</v>
      </c>
      <c r="I111" s="41" t="str">
        <f>IFERROR(__xludf.DUMMYFUNCTION("""COMPUTED_VALUE"""),"Orichalcum: 2
Dieamend: 3
Holy Water: 3
Elfin Elixir: 1
Equable Emerald: 1")</f>
        <v>Orichalcum: 2
Dieamend: 3
Holy Water: 3
Elfin Elixir: 1
Equable Emerald: 1</v>
      </c>
    </row>
    <row r="112">
      <c r="A112" s="42" t="str">
        <f>IFERROR(__xludf.DUMMYFUNCTION("""COMPUTED_VALUE"""),"Gemma's Eternal Charm")</f>
        <v>Gemma's Eternal Charm</v>
      </c>
      <c r="B112" s="30" t="str">
        <f>IFERROR(__xludf.DUMMYFUNCTION("""COMPUTED_VALUE"""),"Defence")</f>
        <v>Defence</v>
      </c>
      <c r="C112" s="30">
        <f>IFERROR(__xludf.DUMMYFUNCTION("""COMPUTED_VALUE"""),15.0)</f>
        <v>15</v>
      </c>
      <c r="D112" s="30" t="str">
        <f>IFERROR(__xludf.DUMMYFUNCTION("""COMPUTED_VALUE"""),"--")</f>
        <v>--</v>
      </c>
      <c r="E112" s="30" t="str">
        <f>IFERROR(__xludf.DUMMYFUNCTION("""COMPUTED_VALUE"""),"--")</f>
        <v>--</v>
      </c>
      <c r="F112" s="30" t="str">
        <f>IFERROR(__xludf.DUMMYFUNCTION("""COMPUTED_VALUE"""),"--")</f>
        <v>--</v>
      </c>
      <c r="G112" s="30" t="str">
        <f>IFERROR(__xludf.DUMMYFUNCTION("""COMPUTED_VALUE"""),"Beguilement Protection (70%)
Curse Protection (70%)")</f>
        <v>Beguilement Protection (70%)
Curse Protection (70%)</v>
      </c>
      <c r="H112" s="42" t="str">
        <f>IFERROR(__xludf.DUMMYFUNCTION("""COMPUTED_VALUE"""),"Postgame event: Cobblestone")</f>
        <v>Postgame event: Cobblestone</v>
      </c>
      <c r="I112" s="42"/>
    </row>
    <row r="113">
      <c r="A113" s="41" t="str">
        <f>IFERROR(__xludf.DUMMYFUNCTION("""COMPUTED_VALUE"""),"Ogler's Digest")</f>
        <v>Ogler's Digest</v>
      </c>
      <c r="B113" s="31" t="str">
        <f>IFERROR(__xludf.DUMMYFUNCTION("""COMPUTED_VALUE"""),"Defence")</f>
        <v>Defence</v>
      </c>
      <c r="C113" s="31">
        <f>IFERROR(__xludf.DUMMYFUNCTION("""COMPUTED_VALUE"""),1.0)</f>
        <v>1</v>
      </c>
      <c r="D113" s="31">
        <f>IFERROR(__xludf.DUMMYFUNCTION("""COMPUTED_VALUE"""),2.0)</f>
        <v>2</v>
      </c>
      <c r="E113" s="31">
        <f>IFERROR(__xludf.DUMMYFUNCTION("""COMPUTED_VALUE"""),3.0)</f>
        <v>3</v>
      </c>
      <c r="F113" s="31">
        <f>IFERROR(__xludf.DUMMYFUNCTION("""COMPUTED_VALUE"""),4.0)</f>
        <v>4</v>
      </c>
      <c r="G113" s="31" t="str">
        <f>IFERROR(__xludf.DUMMYFUNCTION("""COMPUTED_VALUE"""),"Pep-Up Rate Increase (2/3/4/5%)")</f>
        <v>Pep-Up Rate Increase (2/3/4/5%)</v>
      </c>
      <c r="H113" s="41" t="str">
        <f>IFERROR(__xludf.DUMMYFUNCTION("""COMPUTED_VALUE"""),"Make a Wish at Trial Isle")</f>
        <v>Make a Wish at Trial Isle</v>
      </c>
      <c r="I113" s="41"/>
    </row>
  </sheetData>
  <mergeCells count="7">
    <mergeCell ref="A2:I2"/>
    <mergeCell ref="A15:I15"/>
    <mergeCell ref="A32:I32"/>
    <mergeCell ref="A40:I40"/>
    <mergeCell ref="A52:I52"/>
    <mergeCell ref="A72:I72"/>
    <mergeCell ref="A79:I7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7.63"/>
    <col customWidth="1" min="3" max="3" width="72.63"/>
  </cols>
  <sheetData>
    <row r="1" ht="15.0" customHeight="1">
      <c r="A1" s="1" t="str">
        <f>IFERROR(__xludf.DUMMYFUNCTION("IMPORTRANGE(""1pGQGO9M_OLNstXbY45t1_zMDCLpiw8pwB7y8fM3IKkA"",""Items!A1:C122"")"),"Name")</f>
        <v>Name</v>
      </c>
      <c r="B1" s="72" t="str">
        <f>IFERROR(__xludf.DUMMYFUNCTION("""COMPUTED_VALUE"""),"Effect")</f>
        <v>Effect</v>
      </c>
      <c r="C1" s="73" t="str">
        <f>IFERROR(__xludf.DUMMYFUNCTION("""COMPUTED_VALUE"""),"Location")</f>
        <v>Location</v>
      </c>
    </row>
    <row r="2">
      <c r="A2" s="52" t="str">
        <f>IFERROR(__xludf.DUMMYFUNCTION("""COMPUTED_VALUE"""),"Usable Items")</f>
        <v>Usable Items</v>
      </c>
      <c r="B2" s="7"/>
      <c r="C2" s="8"/>
    </row>
    <row r="3">
      <c r="A3" s="53" t="str">
        <f>IFERROR(__xludf.DUMMYFUNCTION("""COMPUTED_VALUE"""),"Medicinal Herb")</f>
        <v>Medicinal Herb</v>
      </c>
      <c r="B3" s="74" t="str">
        <f>IFERROR(__xludf.DUMMYFUNCTION("""COMPUTED_VALUE"""),"Restores at least 30 HP to one ally")</f>
        <v>Restores at least 30 HP to one ally</v>
      </c>
      <c r="C3" s="53" t="str">
        <f>IFERROR(__xludf.DUMMYFUNCTION("""COMPUTED_VALUE"""),"Cobblestone, Heliodor, Downtown, Manglegrove, Hotto etc: 8")</f>
        <v>Cobblestone, Heliodor, Downtown, Manglegrove, Hotto etc: 8</v>
      </c>
    </row>
    <row r="4">
      <c r="A4" s="54" t="str">
        <f>IFERROR(__xludf.DUMMYFUNCTION("""COMPUTED_VALUE"""),"Strong Medicine")</f>
        <v>Strong Medicine</v>
      </c>
      <c r="B4" s="75" t="str">
        <f>IFERROR(__xludf.DUMMYFUNCTION("""COMPUTED_VALUE"""),"Restores at least 50 HP to one ally")</f>
        <v>Restores at least 50 HP to one ally</v>
      </c>
      <c r="C4" s="54" t="str">
        <f>IFERROR(__xludf.DUMMYFUNCTION("""COMPUTED_VALUE"""),"Heliodor Region, Emerald Coast, Gallopolis, Octagonia, Costa Valor, etc: 36")</f>
        <v>Heliodor Region, Emerald Coast, Gallopolis, Octagonia, Costa Valor, etc: 36</v>
      </c>
    </row>
    <row r="5">
      <c r="A5" s="53" t="str">
        <f>IFERROR(__xludf.DUMMYFUNCTION("""COMPUTED_VALUE"""),"Special Medicine")</f>
        <v>Special Medicine</v>
      </c>
      <c r="B5" s="74" t="str">
        <f>IFERROR(__xludf.DUMMYFUNCTION("""COMPUTED_VALUE"""),"Restores at least 90 HP to one ally")</f>
        <v>Restores at least 90 HP to one ally</v>
      </c>
      <c r="C5" s="53" t="str">
        <f>IFERROR(__xludf.DUMMYFUNCTION("""COMPUTED_VALUE"""),"Heliodor Region, Heliodor, Downtown, Hotto, Gallopolis, Gondolia, etc: 70")</f>
        <v>Heliodor Region, Heliodor, Downtown, Hotto, Gallopolis, Gondolia, etc: 70</v>
      </c>
    </row>
    <row r="6">
      <c r="A6" s="54" t="str">
        <f>IFERROR(__xludf.DUMMYFUNCTION("""COMPUTED_VALUE"""),"Superior Medicine")</f>
        <v>Superior Medicine</v>
      </c>
      <c r="B6" s="75" t="str">
        <f>IFERROR(__xludf.DUMMYFUNCTION("""COMPUTED_VALUE"""),"Restores at least 70 HP to one ally")</f>
        <v>Restores at least 70 HP to one ally</v>
      </c>
      <c r="C6" s="54" t="str">
        <f>IFERROR(__xludf.DUMMYFUNCTION("""COMPUTED_VALUE"""),"Zwaardsrust Region, The Champs Sauvage, The Eerie Eyrie, World Tree. Common: Sprite Bulb")</f>
        <v>Zwaardsrust Region, The Champs Sauvage, The Eerie Eyrie, World Tree. Common: Sprite Bulb</v>
      </c>
    </row>
    <row r="7">
      <c r="A7" s="53" t="str">
        <f>IFERROR(__xludf.DUMMYFUNCTION("""COMPUTED_VALUE"""),"Antidotal Herb")</f>
        <v>Antidotal Herb</v>
      </c>
      <c r="B7" s="74" t="str">
        <f>IFERROR(__xludf.DUMMYFUNCTION("""COMPUTED_VALUE"""),"Cures an ally of poison")</f>
        <v>Cures an ally of poison</v>
      </c>
      <c r="C7" s="53" t="str">
        <f>IFERROR(__xludf.DUMMYFUNCTION("""COMPUTED_VALUE"""),"Heliodor, Downtown, Manglegrove, Emerald Coast, Gallopolis: 10")</f>
        <v>Heliodor, Downtown, Manglegrove, Emerald Coast, Gallopolis: 10</v>
      </c>
    </row>
    <row r="8">
      <c r="A8" s="54" t="str">
        <f>IFERROR(__xludf.DUMMYFUNCTION("""COMPUTED_VALUE"""),"Strong Antidote")</f>
        <v>Strong Antidote</v>
      </c>
      <c r="B8" s="75" t="str">
        <f>IFERROR(__xludf.DUMMYFUNCTION("""COMPUTED_VALUE"""),"Cures an ally of poison and restores at least 30 HP")</f>
        <v>Cures an ally of poison and restores at least 30 HP</v>
      </c>
      <c r="C8" s="54" t="str">
        <f>IFERROR(__xludf.DUMMYFUNCTION("""COMPUTED_VALUE"""),"Emerald Coast, Gallopolis, Dundrasil Region, Octagonia, Costa Valor: 45")</f>
        <v>Emerald Coast, Gallopolis, Dundrasil Region, Octagonia, Costa Valor: 45</v>
      </c>
    </row>
    <row r="9">
      <c r="A9" s="53" t="str">
        <f>IFERROR(__xludf.DUMMYFUNCTION("""COMPUTED_VALUE"""),"Special Antidote")</f>
        <v>Special Antidote</v>
      </c>
      <c r="B9" s="74" t="str">
        <f>IFERROR(__xludf.DUMMYFUNCTION("""COMPUTED_VALUE"""),"Cures an ally of poison and restores at least 60 HP")</f>
        <v>Cures an ally of poison and restores at least 60 HP</v>
      </c>
      <c r="C9" s="53" t="str">
        <f>IFERROR(__xludf.DUMMYFUNCTION("""COMPUTED_VALUE"""),"Heliodor, Downtown, Hotto Steppe, Hotto, Gallopolis, Gondolia, etc: 87")</f>
        <v>Heliodor, Downtown, Hotto Steppe, Hotto, Gallopolis, Gondolia, etc: 87</v>
      </c>
    </row>
    <row r="10">
      <c r="A10" s="54" t="str">
        <f>IFERROR(__xludf.DUMMYFUNCTION("""COMPUTED_VALUE"""),"Moonwort Bulb")</f>
        <v>Moonwort Bulb</v>
      </c>
      <c r="B10" s="75" t="str">
        <f>IFERROR(__xludf.DUMMYFUNCTION("""COMPUTED_VALUE"""),"Cures an ally of paralysis")</f>
        <v>Cures an ally of paralysis</v>
      </c>
      <c r="C10" s="54" t="str">
        <f>IFERROR(__xludf.DUMMYFUNCTION("""COMPUTED_VALUE"""),"Hotto, Laguna di Gondolia, Octagonia: 30")</f>
        <v>Hotto, Laguna di Gondolia, Octagonia: 30</v>
      </c>
    </row>
    <row r="11">
      <c r="A11" s="53" t="str">
        <f>IFERROR(__xludf.DUMMYFUNCTION("""COMPUTED_VALUE"""),"Softwort")</f>
        <v>Softwort</v>
      </c>
      <c r="B11" s="74" t="str">
        <f>IFERROR(__xludf.DUMMYFUNCTION("""COMPUTED_VALUE"""),"Cures an ally of paralysis and restores at least 60 HP")</f>
        <v>Cures an ally of paralysis and restores at least 60 HP</v>
      </c>
      <c r="C11" s="53" t="str">
        <f>IFERROR(__xludf.DUMMYFUNCTION("""COMPUTED_VALUE"""),"The Emerald Coast: 95")</f>
        <v>The Emerald Coast: 95</v>
      </c>
    </row>
    <row r="12">
      <c r="A12" s="54" t="str">
        <f>IFERROR(__xludf.DUMMYFUNCTION("""COMPUTED_VALUE"""),"Lunaria")</f>
        <v>Lunaria</v>
      </c>
      <c r="B12" s="75" t="str">
        <f>IFERROR(__xludf.DUMMYFUNCTION("""COMPUTED_VALUE"""),"Cures an ally of paralysis and restores at least 90 HP")</f>
        <v>Cures an ally of paralysis and restores at least 90 HP</v>
      </c>
      <c r="C12" s="54" t="str">
        <f>IFERROR(__xludf.DUMMYFUNCTION("""COMPUTED_VALUE"""),"Heliodor, Downtown, Hotto, Gallopolis, Gondolia, etc: 180")</f>
        <v>Heliodor, Downtown, Hotto, Gallopolis, Gondolia, etc: 180</v>
      </c>
    </row>
    <row r="13">
      <c r="A13" s="53" t="str">
        <f>IFERROR(__xludf.DUMMYFUNCTION("""COMPUTED_VALUE"""),"Panacea")</f>
        <v>Panacea</v>
      </c>
      <c r="B13" s="74" t="str">
        <f>IFERROR(__xludf.DUMMYFUNCTION("""COMPUTED_VALUE"""),"Cures an ally of poison and paralysis and restores at least 90 HP")</f>
        <v>Cures an ally of poison and paralysis and restores at least 90 HP</v>
      </c>
      <c r="C13" s="53" t="str">
        <f>IFERROR(__xludf.DUMMYFUNCTION("""COMPUTED_VALUE"""),"Gallopolis Region, Octagonia, Costa Valor, Puerto Valor, Nautica: 240")</f>
        <v>Gallopolis Region, Octagonia, Costa Valor, Puerto Valor, Nautica: 240</v>
      </c>
    </row>
    <row r="14">
      <c r="A14" s="54" t="str">
        <f>IFERROR(__xludf.DUMMYFUNCTION("""COMPUTED_VALUE"""),"Perfect Panacea")</f>
        <v>Perfect Panacea</v>
      </c>
      <c r="B14" s="75" t="str">
        <f>IFERROR(__xludf.DUMMYFUNCTION("""COMPUTED_VALUE"""),"Cures an ally of most ailments and restores at least 90 HP")</f>
        <v>Cures an ally of most ailments and restores at least 90 HP</v>
      </c>
      <c r="C14" s="54" t="str">
        <f>IFERROR(__xludf.DUMMYFUNCTION("""COMPUTED_VALUE"""),"Cobblestone, Heliodor, Downtown, Hotto, Gallopolis, Gondolia, etc: 490")</f>
        <v>Cobblestone, Heliodor, Downtown, Hotto, Gallopolis, Gondolia, etc: 490</v>
      </c>
    </row>
    <row r="15">
      <c r="A15" s="53" t="str">
        <f>IFERROR(__xludf.DUMMYFUNCTION("""COMPUTED_VALUE"""),"Single Phial")</f>
        <v>Single Phial</v>
      </c>
      <c r="B15" s="74" t="str">
        <f>IFERROR(__xludf.DUMMYFUNCTION("""COMPUTED_VALUE"""),"Restores 10 MP to an ally")</f>
        <v>Restores 10 MP to an ally</v>
      </c>
      <c r="C15" s="53" t="str">
        <f>IFERROR(__xludf.DUMMYFUNCTION("""COMPUTED_VALUE"""),"Drop: Smog, Lampling, Sham Hatwitch, Healslime, Little Devil, Drohl Drone, Mud Mannequin etc")</f>
        <v>Drop: Smog, Lampling, Sham Hatwitch, Healslime, Little Devil, Drohl Drone, Mud Mannequin etc</v>
      </c>
    </row>
    <row r="16">
      <c r="A16" s="54" t="str">
        <f>IFERROR(__xludf.DUMMYFUNCTION("""COMPUTED_VALUE"""),"Magic Water")</f>
        <v>Magic Water</v>
      </c>
      <c r="B16" s="75" t="str">
        <f>IFERROR(__xludf.DUMMYFUNCTION("""COMPUTED_VALUE"""),"Restores 30 MP to an ally")</f>
        <v>Restores 30 MP to an ally</v>
      </c>
      <c r="C16" s="54" t="str">
        <f>IFERROR(__xludf.DUMMYFUNCTION("""COMPUTED_VALUE"""),"First Forest.  Drop: Prestidigitator, Drackolyte, Smacker, Lump Mage etc.")</f>
        <v>First Forest.  Drop: Prestidigitator, Drackolyte, Smacker, Lump Mage etc.</v>
      </c>
    </row>
    <row r="17">
      <c r="A17" s="53" t="str">
        <f>IFERROR(__xludf.DUMMYFUNCTION("""COMPUTED_VALUE"""),"Sage's Elixir")</f>
        <v>Sage's Elixir</v>
      </c>
      <c r="B17" s="74" t="str">
        <f>IFERROR(__xludf.DUMMYFUNCTION("""COMPUTED_VALUE"""),"Restores 90 MP to an ally")</f>
        <v>Restores 90 MP to an ally</v>
      </c>
      <c r="C17" s="53" t="str">
        <f>IFERROR(__xludf.DUMMYFUNCTION("""COMPUTED_VALUE"""),"Octagonia Casino: 1000")</f>
        <v>Octagonia Casino: 1000</v>
      </c>
    </row>
    <row r="18">
      <c r="A18" s="54" t="str">
        <f>IFERROR(__xludf.DUMMYFUNCTION("""COMPUTED_VALUE"""),"Elfin Elixir")</f>
        <v>Elfin Elixir</v>
      </c>
      <c r="B18" s="75" t="str">
        <f>IFERROR(__xludf.DUMMYFUNCTION("""COMPUTED_VALUE"""),"Restores All MP to an ally")</f>
        <v>Restores All MP to an ally</v>
      </c>
      <c r="C18" s="54" t="str">
        <f>IFERROR(__xludf.DUMMYFUNCTION("""COMPUTED_VALUE"""),"Octagonia Casino: 10000, Mini Medal Exchange: 3")</f>
        <v>Octagonia Casino: 10000, Mini Medal Exchange: 3</v>
      </c>
    </row>
    <row r="19">
      <c r="A19" s="53" t="str">
        <f>IFERROR(__xludf.DUMMYFUNCTION("""COMPUTED_VALUE"""),"Yggdrasil Leaf")</f>
        <v>Yggdrasil Leaf</v>
      </c>
      <c r="B19" s="74" t="str">
        <f>IFERROR(__xludf.DUMMYFUNCTION("""COMPUTED_VALUE"""),"Returns an ally to life")</f>
        <v>Returns an ally to life</v>
      </c>
      <c r="C19" s="53" t="str">
        <f>IFERROR(__xludf.DUMMYFUNCTION("""COMPUTED_VALUE"""),"Puerto Valor Casino: 5000, Insula Incognita, World Tree, Sage's Trial - Fierce Forest")</f>
        <v>Puerto Valor Casino: 5000, Insula Incognita, World Tree, Sage's Trial - Fierce Forest</v>
      </c>
    </row>
    <row r="20">
      <c r="A20" s="54" t="str">
        <f>IFERROR(__xludf.DUMMYFUNCTION("""COMPUTED_VALUE"""),"Yggdrasil Dew")</f>
        <v>Yggdrasil Dew</v>
      </c>
      <c r="B20" s="75" t="str">
        <f>IFERROR(__xludf.DUMMYFUNCTION("""COMPUTED_VALUE"""),"Completely restore all HP to all allies")</f>
        <v>Completely restore all HP to all allies</v>
      </c>
      <c r="C20" s="54" t="str">
        <f>IFERROR(__xludf.DUMMYFUNCTION("""COMPUTED_VALUE"""),"Puerto Valor Casino: 10000, World Tree.  Drop: Bomboulder/Vicious Bomboulder")</f>
        <v>Puerto Valor Casino: 10000, World Tree.  Drop: Bomboulder/Vicious Bomboulder</v>
      </c>
    </row>
    <row r="21">
      <c r="A21" s="53" t="str">
        <f>IFERROR(__xludf.DUMMYFUNCTION("""COMPUTED_VALUE"""),"Seed of Life")</f>
        <v>Seed of Life</v>
      </c>
      <c r="B21" s="74" t="str">
        <f>IFERROR(__xludf.DUMMYFUNCTION("""COMPUTED_VALUE"""),"Permanently increase HP")</f>
        <v>Permanently increase HP</v>
      </c>
      <c r="C21" s="53" t="str">
        <f>IFERROR(__xludf.DUMMYFUNCTION("""COMPUTED_VALUE"""),"Rare: Metal Slime, Corpse Corporal, Moosifer, Boreal Serpent")</f>
        <v>Rare: Metal Slime, Corpse Corporal, Moosifer, Boreal Serpent</v>
      </c>
    </row>
    <row r="22">
      <c r="A22" s="14" t="str">
        <f>IFERROR(__xludf.DUMMYFUNCTION("""COMPUTED_VALUE"""),"Seed of Magic")</f>
        <v>Seed of Magic</v>
      </c>
      <c r="B22" s="75" t="str">
        <f>IFERROR(__xludf.DUMMYFUNCTION("""COMPUTED_VALUE"""),"Permanently increase MP")</f>
        <v>Permanently increase MP</v>
      </c>
      <c r="C22" s="54" t="str">
        <f>IFERROR(__xludf.DUMMYFUNCTION("""COMPUTED_VALUE"""),"Rare: Hypothermion, Terrornodon")</f>
        <v>Rare: Hypothermion, Terrornodon</v>
      </c>
    </row>
    <row r="23">
      <c r="A23" s="10" t="str">
        <f>IFERROR(__xludf.DUMMYFUNCTION("""COMPUTED_VALUE"""),"Seed of Strength")</f>
        <v>Seed of Strength</v>
      </c>
      <c r="B23" s="74" t="str">
        <f>IFERROR(__xludf.DUMMYFUNCTION("""COMPUTED_VALUE"""),"Permanently increase strength")</f>
        <v>Permanently increase strength</v>
      </c>
      <c r="C23" s="53" t="str">
        <f>IFERROR(__xludf.DUMMYFUNCTION("""COMPUTED_VALUE"""),"Rare: Brownie, Troll, Night Clubber, Stout Troll")</f>
        <v>Rare: Brownie, Troll, Night Clubber, Stout Troll</v>
      </c>
    </row>
    <row r="24">
      <c r="A24" s="14" t="str">
        <f>IFERROR(__xludf.DUMMYFUNCTION("""COMPUTED_VALUE"""),"Seed of Deftness")</f>
        <v>Seed of Deftness</v>
      </c>
      <c r="B24" s="75" t="str">
        <f>IFERROR(__xludf.DUMMYFUNCTION("""COMPUTED_VALUE"""),"Permanently increase deftness")</f>
        <v>Permanently increase deftness</v>
      </c>
      <c r="C24" s="54" t="str">
        <f>IFERROR(__xludf.DUMMYFUNCTION("""COMPUTED_VALUE"""),"Rare: Pteranodon, Chillanodon, Shadeshifter")</f>
        <v>Rare: Pteranodon, Chillanodon, Shadeshifter</v>
      </c>
    </row>
    <row r="25">
      <c r="A25" s="10" t="str">
        <f>IFERROR(__xludf.DUMMYFUNCTION("""COMPUTED_VALUE"""),"Seed of Agility")</f>
        <v>Seed of Agility</v>
      </c>
      <c r="B25" s="74" t="str">
        <f>IFERROR(__xludf.DUMMYFUNCTION("""COMPUTED_VALUE"""),"Permanently increase agility")</f>
        <v>Permanently increase agility</v>
      </c>
      <c r="C25" s="53" t="str">
        <f>IFERROR(__xludf.DUMMYFUNCTION("""COMPUTED_VALUE"""),"Rare: Raven Lunatic, Prowler Jowler")</f>
        <v>Rare: Raven Lunatic, Prowler Jowler</v>
      </c>
    </row>
    <row r="26">
      <c r="A26" s="14" t="str">
        <f>IFERROR(__xludf.DUMMYFUNCTION("""COMPUTED_VALUE"""),"Seed of Defence")</f>
        <v>Seed of Defence</v>
      </c>
      <c r="B26" s="75" t="str">
        <f>IFERROR(__xludf.DUMMYFUNCTION("""COMPUTED_VALUE"""),"Permanently increase defence")</f>
        <v>Permanently increase defence</v>
      </c>
      <c r="C26" s="58" t="str">
        <f>IFERROR(__xludf.DUMMYFUNCTION("""COMPUTED_VALUE"""),"Rare: Jockilles, Mosstodon")</f>
        <v>Rare: Jockilles, Mosstodon</v>
      </c>
    </row>
    <row r="27">
      <c r="A27" s="10" t="str">
        <f>IFERROR(__xludf.DUMMYFUNCTION("""COMPUTED_VALUE"""),"Seed of Sorcery")</f>
        <v>Seed of Sorcery</v>
      </c>
      <c r="B27" s="74" t="str">
        <f>IFERROR(__xludf.DUMMYFUNCTION("""COMPUTED_VALUE"""),"Permanently increase magical might")</f>
        <v>Permanently increase magical might</v>
      </c>
      <c r="C27" s="53" t="str">
        <f>IFERROR(__xludf.DUMMYFUNCTION("""COMPUTED_VALUE"""),"Rare: Professaurus, Evangelizard, Hooper Duper, Fouler Jowler")</f>
        <v>Rare: Professaurus, Evangelizard, Hooper Duper, Fouler Jowler</v>
      </c>
    </row>
    <row r="28">
      <c r="A28" s="14" t="str">
        <f>IFERROR(__xludf.DUMMYFUNCTION("""COMPUTED_VALUE"""),"Seed of Therapeusis")</f>
        <v>Seed of Therapeusis</v>
      </c>
      <c r="B28" s="75" t="str">
        <f>IFERROR(__xludf.DUMMYFUNCTION("""COMPUTED_VALUE"""),"Permanently increase magical mending")</f>
        <v>Permanently increase magical mending</v>
      </c>
      <c r="C28" s="54" t="str">
        <f>IFERROR(__xludf.DUMMYFUNCTION("""COMPUTED_VALUE"""),"Rare: Wrecktor, Lump Shaman, Wight King")</f>
        <v>Rare: Wrecktor, Lump Shaman, Wight King</v>
      </c>
    </row>
    <row r="29">
      <c r="A29" s="10" t="str">
        <f>IFERROR(__xludf.DUMMYFUNCTION("""COMPUTED_VALUE"""),"Seed of Skill")</f>
        <v>Seed of Skill</v>
      </c>
      <c r="B29" s="74" t="str">
        <f>IFERROR(__xludf.DUMMYFUNCTION("""COMPUTED_VALUE"""),"Gain an extra skill point")</f>
        <v>Gain an extra skill point</v>
      </c>
      <c r="C29" s="53" t="str">
        <f>IFERROR(__xludf.DUMMYFUNCTION("""COMPUTED_VALUE"""),"Rare: Great Keeper")</f>
        <v>Rare: Great Keeper</v>
      </c>
    </row>
    <row r="30">
      <c r="A30" s="54" t="str">
        <f>IFERROR(__xludf.DUMMYFUNCTION("""COMPUTED_VALUE"""),"Pretty Betsy")</f>
        <v>Pretty Betsy</v>
      </c>
      <c r="B30" s="75" t="str">
        <f>IFERROR(__xludf.DUMMYFUNCTION("""COMPUTED_VALUE"""),"Permanently increase Charm")</f>
        <v>Permanently increase Charm</v>
      </c>
      <c r="C30" s="54" t="str">
        <f>IFERROR(__xludf.DUMMYFUNCTION("""COMPUTED_VALUE"""),"Rare: Gnawchid, Whirly Girly, Vampire Succubat, Kisser")</f>
        <v>Rare: Gnawchid, Whirly Girly, Vampire Succubat, Kisser</v>
      </c>
    </row>
    <row r="31">
      <c r="A31" s="53" t="str">
        <f>IFERROR(__xludf.DUMMYFUNCTION("""COMPUTED_VALUE"""),"Chimaera Wing")</f>
        <v>Chimaera Wing</v>
      </c>
      <c r="B31" s="74" t="str">
        <f>IFERROR(__xludf.DUMMYFUNCTION("""COMPUTED_VALUE"""),"Teleport to previously visited location")</f>
        <v>Teleport to previously visited location</v>
      </c>
      <c r="C31" s="53" t="str">
        <f>IFERROR(__xludf.DUMMYFUNCTION("""COMPUTED_VALUE"""),"Heliodor, Downtown, Manglegrove, Emerald Coast, Hotto, etc: 25")</f>
        <v>Heliodor, Downtown, Manglegrove, Emerald Coast, Hotto, etc: 25</v>
      </c>
    </row>
    <row r="32">
      <c r="A32" s="54" t="str">
        <f>IFERROR(__xludf.DUMMYFUNCTION("""COMPUTED_VALUE"""),"Holy Water")</f>
        <v>Holy Water</v>
      </c>
      <c r="B32" s="75" t="str">
        <f>IFERROR(__xludf.DUMMYFUNCTION("""COMPUTED_VALUE"""),"Scare off weaker monsters")</f>
        <v>Scare off weaker monsters</v>
      </c>
      <c r="C32" s="54" t="str">
        <f>IFERROR(__xludf.DUMMYFUNCTION("""COMPUTED_VALUE"""),"Heliodor, Downtown, Manglegrove, Emerald Coast, Hotto, etc: 20")</f>
        <v>Heliodor, Downtown, Manglegrove, Emerald Coast, Hotto, etc: 20</v>
      </c>
    </row>
    <row r="33">
      <c r="A33" s="53" t="str">
        <f>IFERROR(__xludf.DUMMYFUNCTION("""COMPUTED_VALUE"""),"Angel Bell")</f>
        <v>Angel Bell</v>
      </c>
      <c r="B33" s="74" t="str">
        <f>IFERROR(__xludf.DUMMYFUNCTION("""COMPUTED_VALUE"""),"Cures an ally of confusion")</f>
        <v>Cures an ally of confusion</v>
      </c>
      <c r="C33" s="53" t="str">
        <f>IFERROR(__xludf.DUMMYFUNCTION("""COMPUTED_VALUE"""),"L'Academie: 90")</f>
        <v>L'Academie: 90</v>
      </c>
    </row>
    <row r="34">
      <c r="A34" s="54" t="str">
        <f>IFERROR(__xludf.DUMMYFUNCTION("""COMPUTED_VALUE"""),"Coagulant")</f>
        <v>Coagulant</v>
      </c>
      <c r="B34" s="75" t="str">
        <f>IFERROR(__xludf.DUMMYFUNCTION("""COMPUTED_VALUE"""),"Inflict paralysis on an enemy")</f>
        <v>Inflict paralysis on an enemy</v>
      </c>
      <c r="C34" s="54" t="str">
        <f>IFERROR(__xludf.DUMMYFUNCTION("""COMPUTED_VALUE"""),"Zwaardsrust Region, Dundrasil Region: 90")</f>
        <v>Zwaardsrust Region, Dundrasil Region: 90</v>
      </c>
    </row>
    <row r="35">
      <c r="A35" s="53" t="str">
        <f>IFERROR(__xludf.DUMMYFUNCTION("""COMPUTED_VALUE"""),"Tangleweb")</f>
        <v>Tangleweb</v>
      </c>
      <c r="B35" s="74" t="str">
        <f>IFERROR(__xludf.DUMMYFUNCTION("""COMPUTED_VALUE"""),"Lower agility of all enemies")</f>
        <v>Lower agility of all enemies</v>
      </c>
      <c r="C35" s="53" t="str">
        <f>IFERROR(__xludf.DUMMYFUNCTION("""COMPUTED_VALUE"""),"Caverns Under Octagonia")</f>
        <v>Caverns Under Octagonia</v>
      </c>
    </row>
    <row r="36">
      <c r="A36" s="54" t="str">
        <f>IFERROR(__xludf.DUMMYFUNCTION("""COMPUTED_VALUE"""),"Sleeping Hibiscus")</f>
        <v>Sleeping Hibiscus</v>
      </c>
      <c r="B36" s="75" t="str">
        <f>IFERROR(__xludf.DUMMYFUNCTION("""COMPUTED_VALUE"""),"Inflict sleep on an enemy")</f>
        <v>Inflict sleep on an enemy</v>
      </c>
      <c r="C36" s="54" t="str">
        <f>IFERROR(__xludf.DUMMYFUNCTION("""COMPUTED_VALUE"""),"Heliodorian Foothills, Emerald Coast, L'Academie, Drop: Fungoul, Chewlip")</f>
        <v>Heliodorian Foothills, Emerald Coast, L'Academie, Drop: Fungoul, Chewlip</v>
      </c>
    </row>
    <row r="37">
      <c r="A37" s="53" t="str">
        <f>IFERROR(__xludf.DUMMYFUNCTION("""COMPUTED_VALUE"""),"Wakerobin")</f>
        <v>Wakerobin</v>
      </c>
      <c r="B37" s="74" t="str">
        <f>IFERROR(__xludf.DUMMYFUNCTION("""COMPUTED_VALUE"""),"Cures an ally of sleep")</f>
        <v>Cures an ally of sleep</v>
      </c>
      <c r="C37" s="53" t="str">
        <f>IFERROR(__xludf.DUMMYFUNCTION("""COMPUTED_VALUE"""),"Manglegrove, Hotto Steppe, Drop: Fright Bulb, Funghoul, Morphean Mushroom")</f>
        <v>Manglegrove, Hotto Steppe, Drop: Fright Bulb, Funghoul, Morphean Mushroom</v>
      </c>
    </row>
    <row r="38">
      <c r="A38" s="54" t="str">
        <f>IFERROR(__xludf.DUMMYFUNCTION("""COMPUTED_VALUE"""),"Mystifiying Mixture")</f>
        <v>Mystifiying Mixture</v>
      </c>
      <c r="B38" s="75" t="str">
        <f>IFERROR(__xludf.DUMMYFUNCTION("""COMPUTED_VALUE"""),"Inflict confusion on an enemy")</f>
        <v>Inflict confusion on an enemy</v>
      </c>
      <c r="C38" s="54" t="str">
        <f>IFERROR(__xludf.DUMMYFUNCTION("""COMPUTED_VALUE"""),"Cobblestone: 560, Heliodor Sewers, Drop: Toxic Zombie, Silhouette")</f>
        <v>Cobblestone: 560, Heliodor Sewers, Drop: Toxic Zombie, Silhouette</v>
      </c>
    </row>
    <row r="39">
      <c r="A39" s="53" t="str">
        <f>IFERROR(__xludf.DUMMYFUNCTION("""COMPUTED_VALUE"""),"Rockbomb Shard")</f>
        <v>Rockbomb Shard</v>
      </c>
      <c r="B39" s="74" t="str">
        <f>IFERROR(__xludf.DUMMYFUNCTION("""COMPUTED_VALUE"""),"Damage all enemies")</f>
        <v>Damage all enemies</v>
      </c>
      <c r="C39" s="53" t="str">
        <f>IFERROR(__xludf.DUMMYFUNCTION("""COMPUTED_VALUE"""),"Mount Pang Lai, Drop: Haystack Needler, Rockbomb")</f>
        <v>Mount Pang Lai, Drop: Haystack Needler, Rockbomb</v>
      </c>
    </row>
    <row r="40">
      <c r="A40" s="54" t="str">
        <f>IFERROR(__xludf.DUMMYFUNCTION("""COMPUTED_VALUE"""),"Love Potion")</f>
        <v>Love Potion</v>
      </c>
      <c r="B40" s="75" t="str">
        <f>IFERROR(__xludf.DUMMYFUNCTION("""COMPUTED_VALUE"""),"Captivate a single enemy")</f>
        <v>Captivate a single enemy</v>
      </c>
      <c r="C40" s="54" t="str">
        <f>IFERROR(__xludf.DUMMYFUNCTION("""COMPUTED_VALUE"""),"Octagonia Casino: 100")</f>
        <v>Octagonia Casino: 100</v>
      </c>
    </row>
    <row r="41">
      <c r="A41" s="53" t="str">
        <f>IFERROR(__xludf.DUMMYFUNCTION("""COMPUTED_VALUE"""),"Sage's Stone")</f>
        <v>Sage's Stone</v>
      </c>
      <c r="B41" s="74" t="str">
        <f>IFERROR(__xludf.DUMMYFUNCTION("""COMPUTED_VALUE"""),"Restore HP of all allies (unlimited use)")</f>
        <v>Restore HP of all allies (unlimited use)</v>
      </c>
      <c r="C41" s="53" t="str">
        <f>IFERROR(__xludf.DUMMYFUNCTION("""COMPUTED_VALUE"""),"Quest: The Search for the Sage's Stone, Chest: Luminary's Trial")</f>
        <v>Quest: The Search for the Sage's Stone, Chest: Luminary's Trial</v>
      </c>
    </row>
    <row r="42">
      <c r="A42" s="54" t="str">
        <f>IFERROR(__xludf.DUMMYFUNCTION("""COMPUTED_VALUE"""),"Pep Pip")</f>
        <v>Pep Pip</v>
      </c>
      <c r="B42" s="75" t="str">
        <f>IFERROR(__xludf.DUMMYFUNCTION("""COMPUTED_VALUE"""),"Immediately pep an ally")</f>
        <v>Immediately pep an ally</v>
      </c>
      <c r="C42" s="54" t="str">
        <f>IFERROR(__xludf.DUMMYFUNCTION("""COMPUTED_VALUE"""),"Octagonia Casino: 125000, Mini Medal Exchange: 10, Rare: Gold Grabber, Vicious Metal King Slime")</f>
        <v>Octagonia Casino: 125000, Mini Medal Exchange: 10, Rare: Gold Grabber, Vicious Metal King Slime</v>
      </c>
    </row>
    <row r="43">
      <c r="A43" s="53" t="str">
        <f>IFERROR(__xludf.DUMMYFUNCTION("""COMPUTED_VALUE"""),"Pep Pop")</f>
        <v>Pep Pop</v>
      </c>
      <c r="B43" s="74" t="str">
        <f>IFERROR(__xludf.DUMMYFUNCTION("""COMPUTED_VALUE"""),"Immediately pep all allies")</f>
        <v>Immediately pep all allies</v>
      </c>
      <c r="C43" s="53" t="str">
        <f>IFERROR(__xludf.DUMMYFUNCTION("""COMPUTED_VALUE"""),"Cobblestone: 200000, Rare: Fortune Filcher (Rarefied)")</f>
        <v>Cobblestone: 200000, Rare: Fortune Filcher (Rarefied)</v>
      </c>
    </row>
    <row r="44">
      <c r="A44" s="54" t="str">
        <f>IFERROR(__xludf.DUMMYFUNCTION("""COMPUTED_VALUE"""),"Cheat Sheet")</f>
        <v>Cheat Sheet</v>
      </c>
      <c r="B44" s="75" t="str">
        <f>IFERROR(__xludf.DUMMYFUNCTION("""COMPUTED_VALUE"""),"Press R1 to see bonus rates of Slime Quest machines")</f>
        <v>Press R1 to see bonus rates of Slime Quest machines</v>
      </c>
      <c r="C44" s="54" t="str">
        <f>IFERROR(__xludf.DUMMYFUNCTION("""COMPUTED_VALUE"""),"Octagonia Casino: 30000")</f>
        <v>Octagonia Casino: 30000</v>
      </c>
    </row>
    <row r="45">
      <c r="A45" s="53" t="str">
        <f>IFERROR(__xludf.DUMMYFUNCTION("""COMPUTED_VALUE"""),"Drasilian Shilling")</f>
        <v>Drasilian Shilling</v>
      </c>
      <c r="B45" s="74" t="str">
        <f>IFERROR(__xludf.DUMMYFUNCTION("""COMPUTED_VALUE"""),"Sell for 100G")</f>
        <v>Sell for 100G</v>
      </c>
      <c r="C45" s="53" t="str">
        <f>IFERROR(__xludf.DUMMYFUNCTION("""COMPUTED_VALUE"""),"Dundrasil Region, The Champs Sauvage, Drop: Toady")</f>
        <v>Dundrasil Region, The Champs Sauvage, Drop: Toady</v>
      </c>
    </row>
    <row r="46">
      <c r="A46" s="54" t="str">
        <f>IFERROR(__xludf.DUMMYFUNCTION("""COMPUTED_VALUE"""),"Drasilian Guinea")</f>
        <v>Drasilian Guinea</v>
      </c>
      <c r="B46" s="75" t="str">
        <f>IFERROR(__xludf.DUMMYFUNCTION("""COMPUTED_VALUE"""),"Sell for 500G")</f>
        <v>Sell for 500G</v>
      </c>
      <c r="C46" s="54" t="str">
        <f>IFERROR(__xludf.DUMMYFUNCTION("""COMPUTED_VALUE"""),"Drop: Gyim Gryphon, Toxic Zombie, Colossal Cannibox, Ghoul")</f>
        <v>Drop: Gyim Gryphon, Toxic Zombie, Colossal Cannibox, Ghoul</v>
      </c>
    </row>
    <row r="47">
      <c r="A47" s="53" t="str">
        <f>IFERROR(__xludf.DUMMYFUNCTION("""COMPUTED_VALUE"""),"Drasilian Sovereign")</f>
        <v>Drasilian Sovereign</v>
      </c>
      <c r="B47" s="74" t="str">
        <f>IFERROR(__xludf.DUMMYFUNCTION("""COMPUTED_VALUE"""),"Sell for 1000G")</f>
        <v>Sell for 1000G</v>
      </c>
      <c r="C47" s="53" t="str">
        <f>IFERROR(__xludf.DUMMYFUNCTION("""COMPUTED_VALUE"""),"Heliodor Castle, Nautica, Drop: Overtoad, Gold-Plated Puppet, Balhib, Token Taker, Bilhaw")</f>
        <v>Heliodor Castle, Nautica, Drop: Overtoad, Gold-Plated Puppet, Balhib, Token Taker, Bilhaw</v>
      </c>
    </row>
    <row r="48">
      <c r="A48" s="52" t="str">
        <f>IFERROR(__xludf.DUMMYFUNCTION("""COMPUTED_VALUE"""),"Important Items")</f>
        <v>Important Items</v>
      </c>
      <c r="B48" s="7"/>
      <c r="C48" s="8"/>
    </row>
    <row r="49">
      <c r="A49" s="53" t="str">
        <f>IFERROR(__xludf.DUMMYFUNCTION("""COMPUTED_VALUE"""),"Calamus Flute")</f>
        <v>Calamus Flute</v>
      </c>
      <c r="B49" s="74"/>
      <c r="C49" s="53"/>
    </row>
    <row r="50">
      <c r="A50" s="54" t="str">
        <f>IFERROR(__xludf.DUMMYFUNCTION("""COMPUTED_VALUE"""),"Noah's Archive")</f>
        <v>Noah's Archive</v>
      </c>
      <c r="B50" s="75" t="str">
        <f>IFERROR(__xludf.DUMMYFUNCTION("""COMPUTED_VALUE"""),"Shows remaining treasure in area")</f>
        <v>Shows remaining treasure in area</v>
      </c>
      <c r="C50" s="58"/>
    </row>
    <row r="51">
      <c r="A51" s="53" t="str">
        <f>IFERROR(__xludf.DUMMYFUNCTION("""COMPUTED_VALUE"""),"Sea Queen's Conch")</f>
        <v>Sea Queen's Conch</v>
      </c>
      <c r="B51" s="74" t="str">
        <f>IFERROR(__xludf.DUMMYFUNCTION("""COMPUTED_VALUE"""),"Use to receive advice")</f>
        <v>Use to receive advice</v>
      </c>
      <c r="C51" s="53"/>
    </row>
    <row r="52">
      <c r="A52" s="54" t="str">
        <f>IFERROR(__xludf.DUMMYFUNCTION("""COMPUTED_VALUE"""),"Album De Medailles")</f>
        <v>Album De Medailles</v>
      </c>
      <c r="B52" s="75"/>
      <c r="C52" s="54"/>
    </row>
    <row r="53">
      <c r="A53" s="53" t="str">
        <f>IFERROR(__xludf.DUMMYFUNCTION("""COMPUTED_VALUE"""),"Map of Erdrea")</f>
        <v>Map of Erdrea</v>
      </c>
      <c r="B53" s="74"/>
      <c r="C53" s="53"/>
    </row>
    <row r="54">
      <c r="A54" s="54" t="str">
        <f>IFERROR(__xludf.DUMMYFUNCTION("""COMPUTED_VALUE"""),"Rainbough")</f>
        <v>Rainbough</v>
      </c>
      <c r="B54" s="75"/>
      <c r="C54" s="54"/>
    </row>
    <row r="55">
      <c r="A55" s="53" t="str">
        <f>IFERROR(__xludf.DUMMYFUNCTION("""COMPUTED_VALUE"""),"Lorelei's Harp")</f>
        <v>Lorelei's Harp</v>
      </c>
      <c r="B55" s="74"/>
      <c r="C55" s="53"/>
    </row>
    <row r="56">
      <c r="A56" s="54" t="str">
        <f>IFERROR(__xludf.DUMMYFUNCTION("""COMPUTED_VALUE"""),"Red Orb")</f>
        <v>Red Orb</v>
      </c>
      <c r="B56" s="75"/>
      <c r="C56" s="54"/>
    </row>
    <row r="57">
      <c r="A57" s="53" t="str">
        <f>IFERROR(__xludf.DUMMYFUNCTION("""COMPUTED_VALUE"""),"Blue Orb")</f>
        <v>Blue Orb</v>
      </c>
      <c r="B57" s="74"/>
      <c r="C57" s="53"/>
    </row>
    <row r="58">
      <c r="A58" s="54" t="str">
        <f>IFERROR(__xludf.DUMMYFUNCTION("""COMPUTED_VALUE"""),"Yellow Orb")</f>
        <v>Yellow Orb</v>
      </c>
      <c r="B58" s="75"/>
      <c r="C58" s="54"/>
    </row>
    <row r="59">
      <c r="A59" s="53" t="str">
        <f>IFERROR(__xludf.DUMMYFUNCTION("""COMPUTED_VALUE"""),"Green Orb")</f>
        <v>Green Orb</v>
      </c>
      <c r="B59" s="74"/>
      <c r="C59" s="53"/>
    </row>
    <row r="60">
      <c r="A60" s="54" t="str">
        <f>IFERROR(__xludf.DUMMYFUNCTION("""COMPUTED_VALUE"""),"Purple Orb")</f>
        <v>Purple Orb</v>
      </c>
      <c r="B60" s="75"/>
      <c r="C60" s="54"/>
    </row>
    <row r="61">
      <c r="A61" s="53" t="str">
        <f>IFERROR(__xludf.DUMMYFUNCTION("""COMPUTED_VALUE"""),"Silver Orb")</f>
        <v>Silver Orb</v>
      </c>
      <c r="B61" s="74"/>
      <c r="C61" s="53"/>
    </row>
    <row r="62">
      <c r="A62" s="54" t="str">
        <f>IFERROR(__xludf.DUMMYFUNCTION("""COMPUTED_VALUE"""),"Precious Pendant")</f>
        <v>Precious Pendant</v>
      </c>
      <c r="B62" s="75"/>
      <c r="C62" s="54"/>
    </row>
    <row r="63">
      <c r="A63" s="53" t="str">
        <f>IFERROR(__xludf.DUMMYFUNCTION("""COMPUTED_VALUE"""),"Fun-Size Forge")</f>
        <v>Fun-Size Forge</v>
      </c>
      <c r="B63" s="74"/>
      <c r="C63" s="53"/>
    </row>
    <row r="64">
      <c r="A64" s="54" t="str">
        <f>IFERROR(__xludf.DUMMYFUNCTION("""COMPUTED_VALUE"""),"Queen's Final Letter")</f>
        <v>Queen's Final Letter</v>
      </c>
      <c r="B64" s="75"/>
      <c r="C64" s="48"/>
    </row>
    <row r="65">
      <c r="A65" s="53" t="str">
        <f>IFERROR(__xludf.DUMMYFUNCTION("""COMPUTED_VALUE"""),"Chalky's Letter")</f>
        <v>Chalky's Letter</v>
      </c>
      <c r="B65" s="74"/>
      <c r="C65" s="53"/>
    </row>
    <row r="66">
      <c r="A66" s="54" t="str">
        <f>IFERROR(__xludf.DUMMYFUNCTION("""COMPUTED_VALUE"""),"Keystone")</f>
        <v>Keystone</v>
      </c>
      <c r="B66" s="75"/>
      <c r="C66" s="54"/>
    </row>
    <row r="67">
      <c r="A67" s="53" t="str">
        <f>IFERROR(__xludf.DUMMYFUNCTION("""COMPUTED_VALUE"""),"Gallopolis Pass")</f>
        <v>Gallopolis Pass</v>
      </c>
      <c r="B67" s="74"/>
      <c r="C67" s="53"/>
    </row>
    <row r="68">
      <c r="A68" s="54" t="str">
        <f>IFERROR(__xludf.DUMMYFUNCTION("""COMPUTED_VALUE"""),"Sultan's Letter")</f>
        <v>Sultan's Letter</v>
      </c>
      <c r="B68" s="75"/>
      <c r="C68" s="54"/>
    </row>
    <row r="69">
      <c r="A69" s="53" t="str">
        <f>IFERROR(__xludf.DUMMYFUNCTION("""COMPUTED_VALUE"""),"Crackshot Crossbow")</f>
        <v>Crackshot Crossbow</v>
      </c>
      <c r="B69" s="74"/>
      <c r="C69" s="53"/>
    </row>
    <row r="70">
      <c r="A70" s="54" t="str">
        <f>IFERROR(__xludf.DUMMYFUNCTION("""COMPUTED_VALUE"""),"Birdsong Nectar")</f>
        <v>Birdsong Nectar</v>
      </c>
      <c r="B70" s="75"/>
      <c r="C70" s="54"/>
    </row>
    <row r="71">
      <c r="A71" s="53" t="str">
        <f>IFERROR(__xludf.DUMMYFUNCTION("""COMPUTED_VALUE"""),"Martial Arts Mask")</f>
        <v>Martial Arts Mask</v>
      </c>
      <c r="B71" s="74"/>
      <c r="C71" s="53"/>
    </row>
    <row r="72">
      <c r="A72" s="54" t="str">
        <f>IFERROR(__xludf.DUMMYFUNCTION("""COMPUTED_VALUE"""),"MMA Draw Number")</f>
        <v>MMA Draw Number</v>
      </c>
      <c r="B72" s="75"/>
      <c r="C72" s="54"/>
    </row>
    <row r="73">
      <c r="A73" s="53" t="str">
        <f>IFERROR(__xludf.DUMMYFUNCTION("""COMPUTED_VALUE"""),"Lovers' Veil")</f>
        <v>Lovers' Veil</v>
      </c>
      <c r="B73" s="74"/>
      <c r="C73" s="53"/>
    </row>
    <row r="74">
      <c r="A74" s="54" t="str">
        <f>IFERROR(__xludf.DUMMYFUNCTION("""COMPUTED_VALUE"""),"Witch's Grimoire")</f>
        <v>Witch's Grimoire</v>
      </c>
      <c r="B74" s="75"/>
      <c r="C74" s="54"/>
    </row>
    <row r="75">
      <c r="A75" s="53" t="str">
        <f>IFERROR(__xludf.DUMMYFUNCTION("""COMPUTED_VALUE"""),"Forging Hammer")</f>
        <v>Forging Hammer</v>
      </c>
      <c r="B75" s="74"/>
      <c r="C75" s="53"/>
    </row>
    <row r="76">
      <c r="A76" s="54" t="str">
        <f>IFERROR(__xludf.DUMMYFUNCTION("""COMPUTED_VALUE"""),"Guiding Light")</f>
        <v>Guiding Light</v>
      </c>
      <c r="B76" s="75"/>
      <c r="C76" s="54"/>
    </row>
    <row r="77">
      <c r="A77" s="53" t="str">
        <f>IFERROR(__xludf.DUMMYFUNCTION("""COMPUTED_VALUE"""),"Wheel of Time")</f>
        <v>Wheel of Time</v>
      </c>
      <c r="B77" s="74"/>
      <c r="C77" s="53"/>
    </row>
    <row r="78">
      <c r="A78" s="54" t="str">
        <f>IFERROR(__xludf.DUMMYFUNCTION("""COMPUTED_VALUE"""),"Lumen Essence")</f>
        <v>Lumen Essence</v>
      </c>
      <c r="B78" s="76"/>
      <c r="C78" s="54"/>
    </row>
    <row r="79">
      <c r="A79" s="53" t="str">
        <f>IFERROR(__xludf.DUMMYFUNCTION("""COMPUTED_VALUE"""),"Magic Key")</f>
        <v>Magic Key</v>
      </c>
      <c r="B79" s="74"/>
      <c r="C79" s="53"/>
    </row>
    <row r="80">
      <c r="A80" s="54" t="str">
        <f>IFERROR(__xludf.DUMMYFUNCTION("""COMPUTED_VALUE"""),"Sewer Key")</f>
        <v>Sewer Key</v>
      </c>
      <c r="B80" s="75"/>
      <c r="C80" s="54"/>
    </row>
    <row r="81">
      <c r="A81" s="65" t="str">
        <f>IFERROR(__xludf.DUMMYFUNCTION("""COMPUTED_VALUE"""),"Mountain Gate Key")</f>
        <v>Mountain Gate Key</v>
      </c>
      <c r="B81" s="74"/>
      <c r="C81" s="53"/>
    </row>
    <row r="82">
      <c r="A82" s="54" t="str">
        <f>IFERROR(__xludf.DUMMYFUNCTION("""COMPUTED_VALUE"""),"Crucible Key")</f>
        <v>Crucible Key</v>
      </c>
      <c r="B82" s="75"/>
      <c r="C82" s="54"/>
    </row>
    <row r="83">
      <c r="A83" s="53" t="str">
        <f>IFERROR(__xludf.DUMMYFUNCTION("""COMPUTED_VALUE"""),"Ultimate Key")</f>
        <v>Ultimate Key</v>
      </c>
      <c r="B83" s="74"/>
      <c r="C83" s="53"/>
    </row>
    <row r="84">
      <c r="A84" s="54" t="str">
        <f>IFERROR(__xludf.DUMMYFUNCTION("""COMPUTED_VALUE"""),"Golden Globule")</f>
        <v>Golden Globule</v>
      </c>
      <c r="B84" s="75"/>
      <c r="C84" s="54"/>
    </row>
    <row r="85">
      <c r="A85" s="53" t="str">
        <f>IFERROR(__xludf.DUMMYFUNCTION("""COMPUTED_VALUE"""),"Akia's Letter")</f>
        <v>Akia's Letter</v>
      </c>
      <c r="B85" s="74"/>
      <c r="C85" s="53"/>
    </row>
    <row r="86">
      <c r="A86" s="54" t="str">
        <f>IFERROR(__xludf.DUMMYFUNCTION("""COMPUTED_VALUE"""),"Hakim's Letter")</f>
        <v>Hakim's Letter</v>
      </c>
      <c r="B86" s="75"/>
      <c r="C86" s="54"/>
    </row>
    <row r="87">
      <c r="A87" s="53" t="str">
        <f>IFERROR(__xludf.DUMMYFUNCTION("""COMPUTED_VALUE"""),"Akia's Letter")</f>
        <v>Akia's Letter</v>
      </c>
      <c r="B87" s="74"/>
      <c r="C87" s="53"/>
    </row>
    <row r="88">
      <c r="A88" s="54" t="str">
        <f>IFERROR(__xludf.DUMMYFUNCTION("""COMPUTED_VALUE"""),"Important Letter")</f>
        <v>Important Letter</v>
      </c>
      <c r="B88" s="75"/>
      <c r="C88" s="54"/>
    </row>
    <row r="89">
      <c r="A89" s="53" t="str">
        <f>IFERROR(__xludf.DUMMYFUNCTION("""COMPUTED_VALUE"""),"Mellow Vera")</f>
        <v>Mellow Vera</v>
      </c>
      <c r="B89" s="74"/>
      <c r="C89" s="53"/>
    </row>
    <row r="90">
      <c r="A90" s="54" t="str">
        <f>IFERROR(__xludf.DUMMYFUNCTION("""COMPUTED_VALUE"""),"Mark of Xero")</f>
        <v>Mark of Xero</v>
      </c>
      <c r="B90" s="75"/>
      <c r="C90" s="54"/>
    </row>
    <row r="91">
      <c r="A91" s="53" t="str">
        <f>IFERROR(__xludf.DUMMYFUNCTION("""COMPUTED_VALUE"""),"Floral Coral")</f>
        <v>Floral Coral</v>
      </c>
      <c r="B91" s="74"/>
      <c r="C91" s="53"/>
    </row>
    <row r="92">
      <c r="A92" s="54" t="str">
        <f>IFERROR(__xludf.DUMMYFUNCTION("""COMPUTED_VALUE"""),"Proper Pepper")</f>
        <v>Proper Pepper</v>
      </c>
      <c r="B92" s="75"/>
      <c r="C92" s="54"/>
    </row>
    <row r="93">
      <c r="A93" s="53" t="str">
        <f>IFERROR(__xludf.DUMMYFUNCTION("""COMPUTED_VALUE"""),"Rainproof Rayon")</f>
        <v>Rainproof Rayon</v>
      </c>
      <c r="B93" s="74"/>
      <c r="C93" s="53"/>
    </row>
    <row r="94">
      <c r="A94" s="54" t="str">
        <f>IFERROR(__xludf.DUMMYFUNCTION("""COMPUTED_VALUE"""),"Memory Box")</f>
        <v>Memory Box</v>
      </c>
      <c r="B94" s="75"/>
      <c r="C94" s="54"/>
    </row>
    <row r="95">
      <c r="A95" s="53" t="str">
        <f>IFERROR(__xludf.DUMMYFUNCTION("""COMPUTED_VALUE"""),"Carved Figure")</f>
        <v>Carved Figure</v>
      </c>
      <c r="B95" s="74"/>
      <c r="C95" s="53"/>
    </row>
    <row r="96">
      <c r="A96" s="54" t="str">
        <f>IFERROR(__xludf.DUMMYFUNCTION("""COMPUTED_VALUE"""),"Snaerose")</f>
        <v>Snaerose</v>
      </c>
      <c r="B96" s="75"/>
      <c r="C96" s="54"/>
    </row>
    <row r="97">
      <c r="A97" s="53" t="str">
        <f>IFERROR(__xludf.DUMMYFUNCTION("""COMPUTED_VALUE"""),"Scruffy Urchin")</f>
        <v>Scruffy Urchin</v>
      </c>
      <c r="B97" s="74"/>
      <c r="C97" s="53"/>
    </row>
    <row r="98">
      <c r="A98" s="54" t="str">
        <f>IFERROR(__xludf.DUMMYFUNCTION("""COMPUTED_VALUE"""),"Wishteria Seeds")</f>
        <v>Wishteria Seeds</v>
      </c>
      <c r="B98" s="75"/>
      <c r="C98" s="54"/>
    </row>
    <row r="99">
      <c r="A99" s="53" t="str">
        <f>IFERROR(__xludf.DUMMYFUNCTION("""COMPUTED_VALUE"""),"Red Kale")</f>
        <v>Red Kale</v>
      </c>
      <c r="B99" s="74"/>
      <c r="C99" s="53"/>
    </row>
    <row r="100">
      <c r="A100" s="54" t="str">
        <f>IFERROR(__xludf.DUMMYFUNCTION("""COMPUTED_VALUE"""),"Rainbow Rock Salt")</f>
        <v>Rainbow Rock Salt</v>
      </c>
      <c r="B100" s="75"/>
      <c r="C100" s="54"/>
    </row>
    <row r="101">
      <c r="A101" s="53" t="str">
        <f>IFERROR(__xludf.DUMMYFUNCTION("""COMPUTED_VALUE"""),"Diplome De L'Academie")</f>
        <v>Diplome De L'Academie</v>
      </c>
      <c r="B101" s="74"/>
      <c r="C101" s="53"/>
    </row>
    <row r="102">
      <c r="A102" s="54" t="str">
        <f>IFERROR(__xludf.DUMMYFUNCTION("""COMPUTED_VALUE"""),"Pungent Perfume")</f>
        <v>Pungent Perfume</v>
      </c>
      <c r="B102" s="75"/>
      <c r="C102" s="54"/>
    </row>
    <row r="103">
      <c r="A103" s="53" t="str">
        <f>IFERROR(__xludf.DUMMYFUNCTION("""COMPUTED_VALUE"""),"Fiery Brimstone")</f>
        <v>Fiery Brimstone</v>
      </c>
      <c r="B103" s="74"/>
      <c r="C103" s="53"/>
    </row>
    <row r="104">
      <c r="A104" s="54" t="str">
        <f>IFERROR(__xludf.DUMMYFUNCTION("""COMPUTED_VALUE"""),"Desert Rose")</f>
        <v>Desert Rose</v>
      </c>
      <c r="B104" s="75"/>
      <c r="C104" s="54"/>
    </row>
    <row r="105">
      <c r="A105" s="53" t="str">
        <f>IFERROR(__xludf.DUMMYFUNCTION("""COMPUTED_VALUE"""),"Dulcet Dulse")</f>
        <v>Dulcet Dulse</v>
      </c>
      <c r="B105" s="74"/>
      <c r="C105" s="53"/>
    </row>
    <row r="106">
      <c r="A106" s="54" t="str">
        <f>IFERROR(__xludf.DUMMYFUNCTION("""COMPUTED_VALUE"""),"Kanaloamari")</f>
        <v>Kanaloamari</v>
      </c>
      <c r="B106" s="75"/>
      <c r="C106" s="54"/>
    </row>
    <row r="107">
      <c r="A107" s="53" t="str">
        <f>IFERROR(__xludf.DUMMYFUNCTION("""COMPUTED_VALUE"""),"Lantern Shard")</f>
        <v>Lantern Shard</v>
      </c>
      <c r="B107" s="74"/>
      <c r="C107" s="53"/>
    </row>
    <row r="108">
      <c r="A108" s="54" t="str">
        <f>IFERROR(__xludf.DUMMYFUNCTION("""COMPUTED_VALUE"""),"Luter's Opus")</f>
        <v>Luter's Opus</v>
      </c>
      <c r="B108" s="75"/>
      <c r="C108" s="54"/>
    </row>
    <row r="109">
      <c r="A109" s="53" t="str">
        <f>IFERROR(__xludf.DUMMYFUNCTION("""COMPUTED_VALUE"""),"Kanono Cannon")</f>
        <v>Kanono Cannon</v>
      </c>
      <c r="B109" s="74"/>
      <c r="C109" s="53"/>
    </row>
    <row r="110">
      <c r="A110" s="54" t="str">
        <f>IFERROR(__xludf.DUMMYFUNCTION("""COMPUTED_VALUE"""),"Sealicitor's Statutes")</f>
        <v>Sealicitor's Statutes</v>
      </c>
      <c r="B110" s="75"/>
      <c r="C110" s="54"/>
    </row>
    <row r="111">
      <c r="A111" s="53" t="str">
        <f>IFERROR(__xludf.DUMMYFUNCTION("""COMPUTED_VALUE"""),"Type G0 Sprocket")</f>
        <v>Type G0 Sprocket</v>
      </c>
      <c r="B111" s="74"/>
      <c r="C111" s="53"/>
    </row>
    <row r="112">
      <c r="A112" s="54" t="str">
        <f>IFERROR(__xludf.DUMMYFUNCTION("""COMPUTED_VALUE"""),"Divine Dew")</f>
        <v>Divine Dew</v>
      </c>
      <c r="B112" s="75"/>
      <c r="C112" s="54"/>
    </row>
    <row r="113">
      <c r="A113" s="53" t="str">
        <f>IFERROR(__xludf.DUMMYFUNCTION("""COMPUTED_VALUE"""),"Hotto Stuff")</f>
        <v>Hotto Stuff</v>
      </c>
      <c r="B113" s="74"/>
      <c r="C113" s="53"/>
    </row>
    <row r="114">
      <c r="A114" s="54" t="str">
        <f>IFERROR(__xludf.DUMMYFUNCTION("""COMPUTED_VALUE"""),"Pepper Tree Branch")</f>
        <v>Pepper Tree Branch</v>
      </c>
      <c r="B114" s="75"/>
      <c r="C114" s="54"/>
    </row>
    <row r="115">
      <c r="A115" s="53" t="str">
        <f>IFERROR(__xludf.DUMMYFUNCTION("""COMPUTED_VALUE"""),"Crystal Lily")</f>
        <v>Crystal Lily</v>
      </c>
      <c r="B115" s="74"/>
      <c r="C115" s="53"/>
    </row>
    <row r="116">
      <c r="A116" s="54" t="str">
        <f>IFERROR(__xludf.DUMMYFUNCTION("""COMPUTED_VALUE"""),"Harmonicrystal")</f>
        <v>Harmonicrystal</v>
      </c>
      <c r="B116" s="75"/>
      <c r="C116" s="54"/>
    </row>
    <row r="117">
      <c r="A117" s="53" t="str">
        <f>IFERROR(__xludf.DUMMYFUNCTION("""COMPUTED_VALUE"""),"Erdwin's Bracelet")</f>
        <v>Erdwin's Bracelet</v>
      </c>
      <c r="B117" s="74"/>
      <c r="C117" s="53"/>
    </row>
    <row r="118">
      <c r="A118" s="52" t="str">
        <f>IFERROR(__xludf.DUMMYFUNCTION("""COMPUTED_VALUE"""),"No Item Entry")</f>
        <v>No Item Entry</v>
      </c>
      <c r="B118" s="7"/>
      <c r="C118" s="8"/>
    </row>
    <row r="119">
      <c r="A119" s="53" t="str">
        <f>IFERROR(__xludf.DUMMYFUNCTION("""COMPUTED_VALUE"""),"Choker")</f>
        <v>Choker</v>
      </c>
      <c r="B119" s="74"/>
      <c r="C119" s="53"/>
    </row>
    <row r="120">
      <c r="A120" s="54" t="str">
        <f>IFERROR(__xludf.DUMMYFUNCTION("""COMPUTED_VALUE"""),"Princess's Pledge")</f>
        <v>Princess's Pledge</v>
      </c>
      <c r="B120" s="75"/>
      <c r="C120" s="54"/>
    </row>
    <row r="121">
      <c r="A121" s="53" t="str">
        <f>IFERROR(__xludf.DUMMYFUNCTION("""COMPUTED_VALUE"""),"Tombola Ticket")</f>
        <v>Tombola Ticket</v>
      </c>
      <c r="B121" s="74" t="str">
        <f>IFERROR(__xludf.DUMMYFUNCTION("""COMPUTED_VALUE"""),"Play a minigame")</f>
        <v>Play a minigame</v>
      </c>
      <c r="C121" s="53"/>
    </row>
    <row r="122">
      <c r="A122" s="54" t="str">
        <f>IFERROR(__xludf.DUMMYFUNCTION("""COMPUTED_VALUE"""),"Forged Love Letter")</f>
        <v>Forged Love Letter</v>
      </c>
      <c r="B122" s="75"/>
      <c r="C122" s="54"/>
    </row>
  </sheetData>
  <mergeCells count="3">
    <mergeCell ref="A2:C2"/>
    <mergeCell ref="A48:C48"/>
    <mergeCell ref="A118:C1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27.63"/>
    <col customWidth="1" min="3" max="3" width="10.75"/>
    <col customWidth="1" min="4" max="5" width="9.5"/>
    <col customWidth="1" min="6" max="7" width="18.88"/>
    <col customWidth="1" min="8" max="8" width="60.13"/>
  </cols>
  <sheetData>
    <row r="1">
      <c r="A1" s="77" t="str">
        <f>IFERROR(__xludf.DUMMYFUNCTION("IMPORTRANGE(""1pGQGO9M_OLNstXbY45t1_zMDCLpiw8pwB7y8fM3IKkA"",""Bestiary!A1:H700"")"),"P#")</f>
        <v>P#</v>
      </c>
      <c r="B1" s="78" t="str">
        <f>IFERROR(__xludf.DUMMYFUNCTION("""COMPUTED_VALUE"""),"Monster")</f>
        <v>Monster</v>
      </c>
      <c r="C1" s="78" t="str">
        <f>IFERROR(__xludf.DUMMYFUNCTION("""COMPUTED_VALUE"""),"Family")</f>
        <v>Family</v>
      </c>
      <c r="D1" s="78" t="str">
        <f>IFERROR(__xludf.DUMMYFUNCTION("""COMPUTED_VALUE"""),"Exp")</f>
        <v>Exp</v>
      </c>
      <c r="E1" s="78" t="str">
        <f>IFERROR(__xludf.DUMMYFUNCTION("""COMPUTED_VALUE"""),"Gold")</f>
        <v>Gold</v>
      </c>
      <c r="F1" s="78" t="str">
        <f>IFERROR(__xludf.DUMMYFUNCTION("""COMPUTED_VALUE"""),"Common")</f>
        <v>Common</v>
      </c>
      <c r="G1" s="78" t="str">
        <f>IFERROR(__xludf.DUMMYFUNCTION("""COMPUTED_VALUE"""),"Rare")</f>
        <v>Rare</v>
      </c>
      <c r="H1" s="78" t="str">
        <f>IFERROR(__xludf.DUMMYFUNCTION("""COMPUTED_VALUE"""),"Region")</f>
        <v>Region</v>
      </c>
    </row>
    <row r="2">
      <c r="A2" s="79" t="str">
        <f>IFERROR(__xludf.DUMMYFUNCTION("""COMPUTED_VALUE"""),"The bestiary updates itself as you progress through the game, removing locations from mob entries that become unavailable, listed regions are postgame locations")</f>
        <v>The bestiary updates itself as you progress through the game, removing locations from mob entries that become unavailable, listed regions are postgame locations</v>
      </c>
      <c r="B2" s="80"/>
      <c r="C2" s="80"/>
      <c r="D2" s="80"/>
      <c r="E2" s="80"/>
      <c r="F2" s="80"/>
      <c r="G2" s="80"/>
      <c r="H2" s="81"/>
    </row>
    <row r="3">
      <c r="A3" s="82" t="str">
        <f>IFERROR(__xludf.DUMMYFUNCTION("""COMPUTED_VALUE"""),"As you progress some monsters will upgrade to Vicious/Malicious.  Defeating these will fill in the bestiary for the weaker versions with a kill count of 0, thus the entire bestiary can be completed solely in the postgame.")</f>
        <v>As you progress some monsters will upgrade to Vicious/Malicious.  Defeating these will fill in the bestiary for the weaker versions with a kill count of 0, thus the entire bestiary can be completed solely in the postgame.</v>
      </c>
      <c r="H3" s="83"/>
    </row>
    <row r="4">
      <c r="A4" s="84" t="str">
        <f>IFERROR(__xludf.DUMMYFUNCTION("""COMPUTED_VALUE"""),"There are 662 entries, 661-662 are for the postgame final boss and can only be viewed after clearing, but not saved.  The final accolade merely requires the other 660")</f>
        <v>There are 662 entries, 661-662 are for the postgame final boss and can only be viewed after clearing, but not saved.  The final accolade merely requires the other 660</v>
      </c>
      <c r="H4" s="85"/>
    </row>
    <row r="5">
      <c r="A5" s="84" t="str">
        <f>IFERROR(__xludf.DUMMYFUNCTION("""COMPUTED_VALUE"""),"The Trials have drastically different spawns based on day/night, but won't update until a zone change, mainly an issue in Luminary Trial which has frequent zoning back and forth.")</f>
        <v>The Trials have drastically different spawns based on day/night, but won't update until a zone change, mainly an issue in Luminary Trial which has frequent zoning back and forth.</v>
      </c>
      <c r="H5" s="83"/>
    </row>
    <row r="6">
      <c r="A6" s="86" t="str">
        <f>IFERROR(__xludf.DUMMYFUNCTION("""COMPUTED_VALUE"""),"Arranged via the View All Monsters option,  Default order.  Ctrl + F ""P#"" to get to the page number you need, Ctrl + F ""rarefied"" to cycle through the rare monsters.")</f>
        <v>Arranged via the View All Monsters option,  Default order.  Ctrl + F "P#" to get to the page number you need, Ctrl + F "rarefied" to cycle through the rare monsters.</v>
      </c>
      <c r="B6" s="87"/>
      <c r="C6" s="87"/>
      <c r="D6" s="87"/>
      <c r="E6" s="87"/>
      <c r="F6" s="87"/>
      <c r="G6" s="87"/>
      <c r="H6" s="88"/>
    </row>
    <row r="7">
      <c r="A7" s="89" t="str">
        <f>IFERROR(__xludf.DUMMYFUNCTION("""COMPUTED_VALUE"""),"P1")</f>
        <v>P1</v>
      </c>
      <c r="B7" s="90" t="str">
        <f>IFERROR(__xludf.DUMMYFUNCTION("""COMPUTED_VALUE"""),"Slime")</f>
        <v>Slime</v>
      </c>
      <c r="C7" s="90" t="str">
        <f>IFERROR(__xludf.DUMMYFUNCTION("""COMPUTED_VALUE"""),"Slime")</f>
        <v>Slime</v>
      </c>
      <c r="D7" s="90">
        <f>IFERROR(__xludf.DUMMYFUNCTION("""COMPUTED_VALUE"""),2.0)</f>
        <v>2</v>
      </c>
      <c r="E7" s="90">
        <f>IFERROR(__xludf.DUMMYFUNCTION("""COMPUTED_VALUE"""),2.0)</f>
        <v>2</v>
      </c>
      <c r="F7" s="90" t="str">
        <f>IFERROR(__xludf.DUMMYFUNCTION("""COMPUTED_VALUE"""),"Medicinal Herb")</f>
        <v>Medicinal Herb</v>
      </c>
      <c r="G7" s="90" t="str">
        <f>IFERROR(__xludf.DUMMYFUNCTION("""COMPUTED_VALUE"""),"Slimedrop")</f>
        <v>Slimedrop</v>
      </c>
      <c r="H7" s="91"/>
    </row>
    <row r="8">
      <c r="A8" s="92"/>
      <c r="B8" s="93" t="str">
        <f>IFERROR(__xludf.DUMMYFUNCTION("""COMPUTED_VALUE"""),"Needler")</f>
        <v>Needler</v>
      </c>
      <c r="C8" s="93" t="str">
        <f>IFERROR(__xludf.DUMMYFUNCTION("""COMPUTED_VALUE"""),"Humanoid")</f>
        <v>Humanoid</v>
      </c>
      <c r="D8" s="93">
        <f>IFERROR(__xludf.DUMMYFUNCTION("""COMPUTED_VALUE"""),3.0)</f>
        <v>3</v>
      </c>
      <c r="E8" s="93">
        <f>IFERROR(__xludf.DUMMYFUNCTION("""COMPUTED_VALUE"""),3.0)</f>
        <v>3</v>
      </c>
      <c r="F8" s="93" t="str">
        <f>IFERROR(__xludf.DUMMYFUNCTION("""COMPUTED_VALUE"""),"Medicinal Herb")</f>
        <v>Medicinal Herb</v>
      </c>
      <c r="G8" s="93" t="str">
        <f>IFERROR(__xludf.DUMMYFUNCTION("""COMPUTED_VALUE"""),"Lambswool")</f>
        <v>Lambswool</v>
      </c>
      <c r="H8" s="94"/>
    </row>
    <row r="9">
      <c r="A9" s="95"/>
      <c r="B9" s="96" t="str">
        <f>IFERROR(__xludf.DUMMYFUNCTION("""COMPUTED_VALUE"""),"Smog")</f>
        <v>Smog</v>
      </c>
      <c r="C9" s="96" t="str">
        <f>IFERROR(__xludf.DUMMYFUNCTION("""COMPUTED_VALUE"""),"Elemental")</f>
        <v>Elemental</v>
      </c>
      <c r="D9" s="96">
        <f>IFERROR(__xludf.DUMMYFUNCTION("""COMPUTED_VALUE"""),20.0)</f>
        <v>20</v>
      </c>
      <c r="E9" s="96">
        <f>IFERROR(__xludf.DUMMYFUNCTION("""COMPUTED_VALUE"""),8.0)</f>
        <v>8</v>
      </c>
      <c r="F9" s="96" t="str">
        <f>IFERROR(__xludf.DUMMYFUNCTION("""COMPUTED_VALUE"""),"Holy Water")</f>
        <v>Holy Water</v>
      </c>
      <c r="G9" s="96" t="str">
        <f>IFERROR(__xludf.DUMMYFUNCTION("""COMPUTED_VALUE"""),"Single Phial")</f>
        <v>Single Phial</v>
      </c>
      <c r="H9" s="96" t="str">
        <f>IFERROR(__xludf.DUMMYFUNCTION("""COMPUTED_VALUE"""),"The Manglegrove")</f>
        <v>The Manglegrove</v>
      </c>
    </row>
    <row r="10">
      <c r="A10" s="92"/>
      <c r="B10" s="93" t="str">
        <f>IFERROR(__xludf.DUMMYFUNCTION("""COMPUTED_VALUE"""),"Stark Raven")</f>
        <v>Stark Raven</v>
      </c>
      <c r="C10" s="93" t="str">
        <f>IFERROR(__xludf.DUMMYFUNCTION("""COMPUTED_VALUE"""),"Bird")</f>
        <v>Bird</v>
      </c>
      <c r="D10" s="93">
        <f>IFERROR(__xludf.DUMMYFUNCTION("""COMPUTED_VALUE"""),3.0)</f>
        <v>3</v>
      </c>
      <c r="E10" s="93">
        <f>IFERROR(__xludf.DUMMYFUNCTION("""COMPUTED_VALUE"""),4.0)</f>
        <v>4</v>
      </c>
      <c r="F10" s="93" t="str">
        <f>IFERROR(__xludf.DUMMYFUNCTION("""COMPUTED_VALUE"""),"Flurry Feather")</f>
        <v>Flurry Feather</v>
      </c>
      <c r="G10" s="93" t="str">
        <f>IFERROR(__xludf.DUMMYFUNCTION("""COMPUTED_VALUE"""),"Beast Bone")</f>
        <v>Beast Bone</v>
      </c>
      <c r="H10" s="94"/>
    </row>
    <row r="11">
      <c r="A11" s="95"/>
      <c r="B11" s="96" t="str">
        <f>IFERROR(__xludf.DUMMYFUNCTION("""COMPUTED_VALUE"""),"Dracky")</f>
        <v>Dracky</v>
      </c>
      <c r="C11" s="96" t="str">
        <f>IFERROR(__xludf.DUMMYFUNCTION("""COMPUTED_VALUE"""),"Bird")</f>
        <v>Bird</v>
      </c>
      <c r="D11" s="96">
        <f>IFERROR(__xludf.DUMMYFUNCTION("""COMPUTED_VALUE"""),4.0)</f>
        <v>4</v>
      </c>
      <c r="E11" s="96">
        <f>IFERROR(__xludf.DUMMYFUNCTION("""COMPUTED_VALUE"""),5.0)</f>
        <v>5</v>
      </c>
      <c r="F11" s="96" t="str">
        <f>IFERROR(__xludf.DUMMYFUNCTION("""COMPUTED_VALUE"""),"Medicinal Herb")</f>
        <v>Medicinal Herb</v>
      </c>
      <c r="G11" s="96" t="str">
        <f>IFERROR(__xludf.DUMMYFUNCTION("""COMPUTED_VALUE"""),"Chimaera Wing")</f>
        <v>Chimaera Wing</v>
      </c>
      <c r="H11" s="96" t="str">
        <f>IFERROR(__xludf.DUMMYFUNCTION("""COMPUTED_VALUE"""),"Heliodorian Foothills")</f>
        <v>Heliodorian Foothills</v>
      </c>
    </row>
    <row r="12">
      <c r="A12" s="92"/>
      <c r="B12" s="93" t="str">
        <f>IFERROR(__xludf.DUMMYFUNCTION("""COMPUTED_VALUE"""),"Cruelcumber")</f>
        <v>Cruelcumber</v>
      </c>
      <c r="C12" s="93" t="str">
        <f>IFERROR(__xludf.DUMMYFUNCTION("""COMPUTED_VALUE"""),"Nature")</f>
        <v>Nature</v>
      </c>
      <c r="D12" s="93">
        <f>IFERROR(__xludf.DUMMYFUNCTION("""COMPUTED_VALUE"""),5.0)</f>
        <v>5</v>
      </c>
      <c r="E12" s="93">
        <f>IFERROR(__xludf.DUMMYFUNCTION("""COMPUTED_VALUE"""),6.0)</f>
        <v>6</v>
      </c>
      <c r="F12" s="93" t="str">
        <f>IFERROR(__xludf.DUMMYFUNCTION("""COMPUTED_VALUE"""),"Moonwort Bulb")</f>
        <v>Moonwort Bulb</v>
      </c>
      <c r="G12" s="93" t="str">
        <f>IFERROR(__xludf.DUMMYFUNCTION("""COMPUTED_VALUE"""),"Cypress Stick")</f>
        <v>Cypress Stick</v>
      </c>
      <c r="H12" s="93" t="str">
        <f>IFERROR(__xludf.DUMMYFUNCTION("""COMPUTED_VALUE"""),"Heliodorian Foothills")</f>
        <v>Heliodorian Foothills</v>
      </c>
    </row>
    <row r="13">
      <c r="A13" s="95"/>
      <c r="B13" s="96" t="str">
        <f>IFERROR(__xludf.DUMMYFUNCTION("""COMPUTED_VALUE"""),"Bunicorn")</f>
        <v>Bunicorn</v>
      </c>
      <c r="C13" s="96" t="str">
        <f>IFERROR(__xludf.DUMMYFUNCTION("""COMPUTED_VALUE"""),"Beast")</f>
        <v>Beast</v>
      </c>
      <c r="D13" s="96">
        <f>IFERROR(__xludf.DUMMYFUNCTION("""COMPUTED_VALUE"""),5.0)</f>
        <v>5</v>
      </c>
      <c r="E13" s="96">
        <f>IFERROR(__xludf.DUMMYFUNCTION("""COMPUTED_VALUE"""),4.0)</f>
        <v>4</v>
      </c>
      <c r="F13" s="96" t="str">
        <f>IFERROR(__xludf.DUMMYFUNCTION("""COMPUTED_VALUE"""),"Leather Hat")</f>
        <v>Leather Hat</v>
      </c>
      <c r="G13" s="96" t="str">
        <f>IFERROR(__xludf.DUMMYFUNCTION("""COMPUTED_VALUE"""),"Bunny Tail")</f>
        <v>Bunny Tail</v>
      </c>
      <c r="H13" s="96" t="str">
        <f>IFERROR(__xludf.DUMMYFUNCTION("""COMPUTED_VALUE"""),"Heliodorian Foothills")</f>
        <v>Heliodorian Foothills</v>
      </c>
    </row>
    <row r="14">
      <c r="A14" s="92"/>
      <c r="B14" s="93" t="str">
        <f>IFERROR(__xludf.DUMMYFUNCTION("""COMPUTED_VALUE"""),"Toady")</f>
        <v>Toady</v>
      </c>
      <c r="C14" s="93" t="str">
        <f>IFERROR(__xludf.DUMMYFUNCTION("""COMPUTED_VALUE"""),"Nature")</f>
        <v>Nature</v>
      </c>
      <c r="D14" s="93">
        <f>IFERROR(__xludf.DUMMYFUNCTION("""COMPUTED_VALUE"""),8.0)</f>
        <v>8</v>
      </c>
      <c r="E14" s="93">
        <f>IFERROR(__xludf.DUMMYFUNCTION("""COMPUTED_VALUE"""),5.0)</f>
        <v>5</v>
      </c>
      <c r="F14" s="93" t="str">
        <f>IFERROR(__xludf.DUMMYFUNCTION("""COMPUTED_VALUE"""),"Toad Oil")</f>
        <v>Toad Oil</v>
      </c>
      <c r="G14" s="93" t="str">
        <f>IFERROR(__xludf.DUMMYFUNCTION("""COMPUTED_VALUE"""),"Drasilian Shilling")</f>
        <v>Drasilian Shilling</v>
      </c>
      <c r="H14" s="93" t="str">
        <f>IFERROR(__xludf.DUMMYFUNCTION("""COMPUTED_VALUE"""),"Heliodorian Foothills")</f>
        <v>Heliodorian Foothills</v>
      </c>
    </row>
    <row r="15">
      <c r="A15" s="95"/>
      <c r="B15" s="96" t="str">
        <f>IFERROR(__xludf.DUMMYFUNCTION("""COMPUTED_VALUE"""),"Hammerhood")</f>
        <v>Hammerhood</v>
      </c>
      <c r="C15" s="96" t="str">
        <f>IFERROR(__xludf.DUMMYFUNCTION("""COMPUTED_VALUE"""),"Humanoid")</f>
        <v>Humanoid</v>
      </c>
      <c r="D15" s="96">
        <f>IFERROR(__xludf.DUMMYFUNCTION("""COMPUTED_VALUE"""),7.0)</f>
        <v>7</v>
      </c>
      <c r="E15" s="96">
        <f>IFERROR(__xludf.DUMMYFUNCTION("""COMPUTED_VALUE"""),7.0)</f>
        <v>7</v>
      </c>
      <c r="F15" s="96" t="str">
        <f>IFERROR(__xludf.DUMMYFUNCTION("""COMPUTED_VALUE"""),"Medicinal Herb")</f>
        <v>Medicinal Herb</v>
      </c>
      <c r="G15" s="96" t="str">
        <f>IFERROR(__xludf.DUMMYFUNCTION("""COMPUTED_VALUE"""),"Hardy Hide")</f>
        <v>Hardy Hide</v>
      </c>
      <c r="H15" s="97"/>
    </row>
    <row r="16">
      <c r="A16" s="92"/>
      <c r="B16" s="93" t="str">
        <f>IFERROR(__xludf.DUMMYFUNCTION("""COMPUTED_VALUE"""),"Fright Bulb")</f>
        <v>Fright Bulb</v>
      </c>
      <c r="C16" s="93" t="str">
        <f>IFERROR(__xludf.DUMMYFUNCTION("""COMPUTED_VALUE"""),"Slime")</f>
        <v>Slime</v>
      </c>
      <c r="D16" s="93">
        <f>IFERROR(__xludf.DUMMYFUNCTION("""COMPUTED_VALUE"""),6.0)</f>
        <v>6</v>
      </c>
      <c r="E16" s="93">
        <f>IFERROR(__xludf.DUMMYFUNCTION("""COMPUTED_VALUE"""),8.0)</f>
        <v>8</v>
      </c>
      <c r="F16" s="93" t="str">
        <f>IFERROR(__xludf.DUMMYFUNCTION("""COMPUTED_VALUE"""),"Medicinal Herb")</f>
        <v>Medicinal Herb</v>
      </c>
      <c r="G16" s="93" t="str">
        <f>IFERROR(__xludf.DUMMYFUNCTION("""COMPUTED_VALUE"""),"Wakerobin")</f>
        <v>Wakerobin</v>
      </c>
      <c r="H16" s="93" t="str">
        <f>IFERROR(__xludf.DUMMYFUNCTION("""COMPUTED_VALUE"""),"Heliodorian Foothills")</f>
        <v>Heliodorian Foothills</v>
      </c>
    </row>
    <row r="17">
      <c r="A17" s="95"/>
      <c r="B17" s="96" t="str">
        <f>IFERROR(__xludf.DUMMYFUNCTION("""COMPUTED_VALUE"""),"Lampling")</f>
        <v>Lampling</v>
      </c>
      <c r="C17" s="96" t="str">
        <f>IFERROR(__xludf.DUMMYFUNCTION("""COMPUTED_VALUE"""),"Material")</f>
        <v>Material</v>
      </c>
      <c r="D17" s="96">
        <f>IFERROR(__xludf.DUMMYFUNCTION("""COMPUTED_VALUE"""),9.0)</f>
        <v>9</v>
      </c>
      <c r="E17" s="96">
        <f>IFERROR(__xludf.DUMMYFUNCTION("""COMPUTED_VALUE"""),7.0)</f>
        <v>7</v>
      </c>
      <c r="F17" s="96" t="str">
        <f>IFERROR(__xludf.DUMMYFUNCTION("""COMPUTED_VALUE"""),"Single Phial")</f>
        <v>Single Phial</v>
      </c>
      <c r="G17" s="96" t="str">
        <f>IFERROR(__xludf.DUMMYFUNCTION("""COMPUTED_VALUE"""),"Lamplight")</f>
        <v>Lamplight</v>
      </c>
      <c r="H17" s="97"/>
    </row>
    <row r="18">
      <c r="A18" s="92"/>
      <c r="B18" s="93" t="str">
        <f>IFERROR(__xludf.DUMMYFUNCTION("""COMPUTED_VALUE"""),"Platypunk")</f>
        <v>Platypunk</v>
      </c>
      <c r="C18" s="93" t="str">
        <f>IFERROR(__xludf.DUMMYFUNCTION("""COMPUTED_VALUE"""),"Beast")</f>
        <v>Beast</v>
      </c>
      <c r="D18" s="93">
        <f>IFERROR(__xludf.DUMMYFUNCTION("""COMPUTED_VALUE"""),8.0)</f>
        <v>8</v>
      </c>
      <c r="E18" s="93">
        <f>IFERROR(__xludf.DUMMYFUNCTION("""COMPUTED_VALUE"""),10.0)</f>
        <v>10</v>
      </c>
      <c r="F18" s="93" t="str">
        <f>IFERROR(__xludf.DUMMYFUNCTION("""COMPUTED_VALUE"""),"Hardy Hide")</f>
        <v>Hardy Hide</v>
      </c>
      <c r="G18" s="93" t="str">
        <f>IFERROR(__xludf.DUMMYFUNCTION("""COMPUTED_VALUE"""),"Fine Fur")</f>
        <v>Fine Fur</v>
      </c>
      <c r="H18" s="94"/>
    </row>
    <row r="19">
      <c r="A19" s="95"/>
      <c r="B19" s="96" t="str">
        <f>IFERROR(__xludf.DUMMYFUNCTION("""COMPUTED_VALUE"""),"Heliodorian Guard")</f>
        <v>Heliodorian Guard</v>
      </c>
      <c r="C19" s="96" t="str">
        <f>IFERROR(__xludf.DUMMYFUNCTION("""COMPUTED_VALUE"""),"???")</f>
        <v>???</v>
      </c>
      <c r="D19" s="96">
        <f>IFERROR(__xludf.DUMMYFUNCTION("""COMPUTED_VALUE"""),4.0)</f>
        <v>4</v>
      </c>
      <c r="E19" s="96">
        <f>IFERROR(__xludf.DUMMYFUNCTION("""COMPUTED_VALUE"""),3.0)</f>
        <v>3</v>
      </c>
      <c r="F19" s="96" t="str">
        <f>IFERROR(__xludf.DUMMYFUNCTION("""COMPUTED_VALUE"""),"--")</f>
        <v>--</v>
      </c>
      <c r="G19" s="96" t="str">
        <f>IFERROR(__xludf.DUMMYFUNCTION("""COMPUTED_VALUE"""),"--")</f>
        <v>--</v>
      </c>
      <c r="H19" s="97"/>
    </row>
    <row r="20">
      <c r="A20" s="92"/>
      <c r="B20" s="93" t="str">
        <f>IFERROR(__xludf.DUMMYFUNCTION("""COMPUTED_VALUE"""),"Heliodorian Soldier")</f>
        <v>Heliodorian Soldier</v>
      </c>
      <c r="C20" s="93" t="str">
        <f>IFERROR(__xludf.DUMMYFUNCTION("""COMPUTED_VALUE"""),"???")</f>
        <v>???</v>
      </c>
      <c r="D20" s="93">
        <f>IFERROR(__xludf.DUMMYFUNCTION("""COMPUTED_VALUE"""),5.0)</f>
        <v>5</v>
      </c>
      <c r="E20" s="93">
        <f>IFERROR(__xludf.DUMMYFUNCTION("""COMPUTED_VALUE"""),4.0)</f>
        <v>4</v>
      </c>
      <c r="F20" s="93" t="str">
        <f>IFERROR(__xludf.DUMMYFUNCTION("""COMPUTED_VALUE"""),"--")</f>
        <v>--</v>
      </c>
      <c r="G20" s="93" t="str">
        <f>IFERROR(__xludf.DUMMYFUNCTION("""COMPUTED_VALUE"""),"--")</f>
        <v>--</v>
      </c>
      <c r="H20" s="94"/>
    </row>
    <row r="21">
      <c r="A21" s="95"/>
      <c r="B21" s="96" t="str">
        <f>IFERROR(__xludf.DUMMYFUNCTION("""COMPUTED_VALUE"""),"Metal Slime")</f>
        <v>Metal Slime</v>
      </c>
      <c r="C21" s="96" t="str">
        <f>IFERROR(__xludf.DUMMYFUNCTION("""COMPUTED_VALUE"""),"Slime")</f>
        <v>Slime</v>
      </c>
      <c r="D21" s="96">
        <f>IFERROR(__xludf.DUMMYFUNCTION("""COMPUTED_VALUE"""),2010.0)</f>
        <v>2010</v>
      </c>
      <c r="E21" s="96">
        <f>IFERROR(__xludf.DUMMYFUNCTION("""COMPUTED_VALUE"""),20.0)</f>
        <v>20</v>
      </c>
      <c r="F21" s="96" t="str">
        <f>IFERROR(__xludf.DUMMYFUNCTION("""COMPUTED_VALUE"""),"Molten Globules")</f>
        <v>Molten Globules</v>
      </c>
      <c r="G21" s="96" t="str">
        <f>IFERROR(__xludf.DUMMYFUNCTION("""COMPUTED_VALUE"""),"Seed of Life")</f>
        <v>Seed of Life</v>
      </c>
      <c r="H21" s="96" t="str">
        <f>IFERROR(__xludf.DUMMYFUNCTION("""COMPUTED_VALUE"""),"Insula Orientalis, The Champs Sauvage")</f>
        <v>Insula Orientalis, The Champs Sauvage</v>
      </c>
    </row>
    <row r="22">
      <c r="A22" s="92"/>
      <c r="B22" s="93" t="str">
        <f>IFERROR(__xludf.DUMMYFUNCTION("""COMPUTED_VALUE"""),"Black Dragon")</f>
        <v>Black Dragon</v>
      </c>
      <c r="C22" s="93" t="str">
        <f>IFERROR(__xludf.DUMMYFUNCTION("""COMPUTED_VALUE"""),"Dragon")</f>
        <v>Dragon</v>
      </c>
      <c r="D22" s="93">
        <f>IFERROR(__xludf.DUMMYFUNCTION("""COMPUTED_VALUE"""),1321.0)</f>
        <v>1321</v>
      </c>
      <c r="E22" s="93">
        <f>IFERROR(__xludf.DUMMYFUNCTION("""COMPUTED_VALUE"""),127.0)</f>
        <v>127</v>
      </c>
      <c r="F22" s="93" t="str">
        <f>IFERROR(__xludf.DUMMYFUNCTION("""COMPUTED_VALUE"""),"Dragon Hide")</f>
        <v>Dragon Hide</v>
      </c>
      <c r="G22" s="93" t="str">
        <f>IFERROR(__xludf.DUMMYFUNCTION("""COMPUTED_VALUE"""),"Pitch Pearl")</f>
        <v>Pitch Pearl</v>
      </c>
      <c r="H22" s="94"/>
    </row>
    <row r="23">
      <c r="A23" s="95"/>
      <c r="B23" s="96" t="str">
        <f>IFERROR(__xludf.DUMMYFUNCTION("""COMPUTED_VALUE"""),"Bodkin Archer")</f>
        <v>Bodkin Archer</v>
      </c>
      <c r="C23" s="96" t="str">
        <f>IFERROR(__xludf.DUMMYFUNCTION("""COMPUTED_VALUE"""),"Humanoid")</f>
        <v>Humanoid</v>
      </c>
      <c r="D23" s="96">
        <f>IFERROR(__xludf.DUMMYFUNCTION("""COMPUTED_VALUE"""),10.0)</f>
        <v>10</v>
      </c>
      <c r="E23" s="96">
        <f>IFERROR(__xludf.DUMMYFUNCTION("""COMPUTED_VALUE"""),8.0)</f>
        <v>8</v>
      </c>
      <c r="F23" s="96" t="str">
        <f>IFERROR(__xludf.DUMMYFUNCTION("""COMPUTED_VALUE"""),"Plain Clothes")</f>
        <v>Plain Clothes</v>
      </c>
      <c r="G23" s="96" t="str">
        <f>IFERROR(__xludf.DUMMYFUNCTION("""COMPUTED_VALUE"""),"Leather Hat")</f>
        <v>Leather Hat</v>
      </c>
      <c r="H23" s="97"/>
    </row>
    <row r="24">
      <c r="A24" s="92"/>
      <c r="B24" s="93" t="str">
        <f>IFERROR(__xludf.DUMMYFUNCTION("""COMPUTED_VALUE"""),"Great Sabrecub")</f>
        <v>Great Sabrecub</v>
      </c>
      <c r="C24" s="93" t="str">
        <f>IFERROR(__xludf.DUMMYFUNCTION("""COMPUTED_VALUE"""),"Beast")</f>
        <v>Beast</v>
      </c>
      <c r="D24" s="93">
        <f>IFERROR(__xludf.DUMMYFUNCTION("""COMPUTED_VALUE"""),12.0)</f>
        <v>12</v>
      </c>
      <c r="E24" s="93">
        <f>IFERROR(__xludf.DUMMYFUNCTION("""COMPUTED_VALUE"""),19.0)</f>
        <v>19</v>
      </c>
      <c r="F24" s="93" t="str">
        <f>IFERROR(__xludf.DUMMYFUNCTION("""COMPUTED_VALUE"""),"Medicinal Herb")</f>
        <v>Medicinal Herb</v>
      </c>
      <c r="G24" s="93" t="str">
        <f>IFERROR(__xludf.DUMMYFUNCTION("""COMPUTED_VALUE"""),"Hardy Hide")</f>
        <v>Hardy Hide</v>
      </c>
      <c r="H24" s="93" t="str">
        <f>IFERROR(__xludf.DUMMYFUNCTION("""COMPUTED_VALUE"""),"Heliodorian Foothills")</f>
        <v>Heliodorian Foothills</v>
      </c>
    </row>
    <row r="25">
      <c r="A25" s="95"/>
      <c r="B25" s="96" t="str">
        <f>IFERROR(__xludf.DUMMYFUNCTION("""COMPUTED_VALUE"""),"Great Sabrecat")</f>
        <v>Great Sabrecat</v>
      </c>
      <c r="C25" s="96" t="str">
        <f>IFERROR(__xludf.DUMMYFUNCTION("""COMPUTED_VALUE"""),"Beast")</f>
        <v>Beast</v>
      </c>
      <c r="D25" s="96">
        <f>IFERROR(__xludf.DUMMYFUNCTION("""COMPUTED_VALUE"""),25.0)</f>
        <v>25</v>
      </c>
      <c r="E25" s="96">
        <f>IFERROR(__xludf.DUMMYFUNCTION("""COMPUTED_VALUE"""),25.0)</f>
        <v>25</v>
      </c>
      <c r="F25" s="96" t="str">
        <f>IFERROR(__xludf.DUMMYFUNCTION("""COMPUTED_VALUE"""),"Strong Medicine")</f>
        <v>Strong Medicine</v>
      </c>
      <c r="G25" s="96" t="str">
        <f>IFERROR(__xludf.DUMMYFUNCTION("""COMPUTED_VALUE"""),"Magic Beast Hide")</f>
        <v>Magic Beast Hide</v>
      </c>
      <c r="H25" s="96" t="str">
        <f>IFERROR(__xludf.DUMMYFUNCTION("""COMPUTED_VALUE"""),"Heliodorian Foothills")</f>
        <v>Heliodorian Foothills</v>
      </c>
    </row>
    <row r="26">
      <c r="A26" s="98"/>
      <c r="B26" s="93" t="str">
        <f>IFERROR(__xludf.DUMMYFUNCTION("""COMPUTED_VALUE"""),"Funghoul")</f>
        <v>Funghoul</v>
      </c>
      <c r="C26" s="93" t="str">
        <f>IFERROR(__xludf.DUMMYFUNCTION("""COMPUTED_VALUE"""),"Nature")</f>
        <v>Nature</v>
      </c>
      <c r="D26" s="93">
        <f>IFERROR(__xludf.DUMMYFUNCTION("""COMPUTED_VALUE"""),13.0)</f>
        <v>13</v>
      </c>
      <c r="E26" s="93">
        <f>IFERROR(__xludf.DUMMYFUNCTION("""COMPUTED_VALUE"""),11.0)</f>
        <v>11</v>
      </c>
      <c r="F26" s="93" t="str">
        <f>IFERROR(__xludf.DUMMYFUNCTION("""COMPUTED_VALUE"""),"Sleeping Hibiscus")</f>
        <v>Sleeping Hibiscus</v>
      </c>
      <c r="G26" s="93" t="str">
        <f>IFERROR(__xludf.DUMMYFUNCTION("""COMPUTED_VALUE"""),"Wakerobin")</f>
        <v>Wakerobin</v>
      </c>
      <c r="H26" s="93" t="str">
        <f>IFERROR(__xludf.DUMMYFUNCTION("""COMPUTED_VALUE"""),"Heliodorian Foothills, The Manglegrove")</f>
        <v>Heliodorian Foothills, The Manglegrove</v>
      </c>
    </row>
    <row r="27">
      <c r="A27" s="99" t="str">
        <f>IFERROR(__xludf.DUMMYFUNCTION("""COMPUTED_VALUE"""),"P2")</f>
        <v>P2</v>
      </c>
      <c r="B27" s="96" t="str">
        <f>IFERROR(__xludf.DUMMYFUNCTION("""COMPUTED_VALUE"""),"Stump Chump")</f>
        <v>Stump Chump</v>
      </c>
      <c r="C27" s="96" t="str">
        <f>IFERROR(__xludf.DUMMYFUNCTION("""COMPUTED_VALUE"""),"Nature")</f>
        <v>Nature</v>
      </c>
      <c r="D27" s="96">
        <f>IFERROR(__xludf.DUMMYFUNCTION("""COMPUTED_VALUE"""),11.0)</f>
        <v>11</v>
      </c>
      <c r="E27" s="96">
        <f>IFERROR(__xludf.DUMMYFUNCTION("""COMPUTED_VALUE"""),9.0)</f>
        <v>9</v>
      </c>
      <c r="F27" s="96" t="str">
        <f>IFERROR(__xludf.DUMMYFUNCTION("""COMPUTED_VALUE"""),"Medicinal Herb")</f>
        <v>Medicinal Herb</v>
      </c>
      <c r="G27" s="96" t="str">
        <f>IFERROR(__xludf.DUMMYFUNCTION("""COMPUTED_VALUE"""),"Pink Pine")</f>
        <v>Pink Pine</v>
      </c>
      <c r="H27" s="96" t="str">
        <f>IFERROR(__xludf.DUMMYFUNCTION("""COMPUTED_VALUE"""),"Heliodorian Foothills")</f>
        <v>Heliodorian Foothills</v>
      </c>
    </row>
    <row r="28">
      <c r="A28" s="92"/>
      <c r="B28" s="93" t="str">
        <f>IFERROR(__xludf.DUMMYFUNCTION("""COMPUTED_VALUE"""),"Dancing Devil")</f>
        <v>Dancing Devil</v>
      </c>
      <c r="C28" s="93" t="str">
        <f>IFERROR(__xludf.DUMMYFUNCTION("""COMPUTED_VALUE"""),"Demon")</f>
        <v>Demon</v>
      </c>
      <c r="D28" s="93">
        <f>IFERROR(__xludf.DUMMYFUNCTION("""COMPUTED_VALUE"""),14.0)</f>
        <v>14</v>
      </c>
      <c r="E28" s="93">
        <f>IFERROR(__xludf.DUMMYFUNCTION("""COMPUTED_VALUE"""),9.0)</f>
        <v>9</v>
      </c>
      <c r="F28" s="93" t="str">
        <f>IFERROR(__xludf.DUMMYFUNCTION("""COMPUTED_VALUE"""),"Chimaera Wing")</f>
        <v>Chimaera Wing</v>
      </c>
      <c r="G28" s="93" t="str">
        <f>IFERROR(__xludf.DUMMYFUNCTION("""COMPUTED_VALUE"""),"Boxer Shorts")</f>
        <v>Boxer Shorts</v>
      </c>
      <c r="H28" s="100"/>
    </row>
    <row r="29">
      <c r="A29" s="95"/>
      <c r="B29" s="96" t="str">
        <f>IFERROR(__xludf.DUMMYFUNCTION("""COMPUTED_VALUE"""),"Lips")</f>
        <v>Lips</v>
      </c>
      <c r="C29" s="96" t="str">
        <f>IFERROR(__xludf.DUMMYFUNCTION("""COMPUTED_VALUE"""),"Nature")</f>
        <v>Nature</v>
      </c>
      <c r="D29" s="96">
        <f>IFERROR(__xludf.DUMMYFUNCTION("""COMPUTED_VALUE"""),9.0)</f>
        <v>9</v>
      </c>
      <c r="E29" s="96">
        <f>IFERROR(__xludf.DUMMYFUNCTION("""COMPUTED_VALUE"""),16.0)</f>
        <v>16</v>
      </c>
      <c r="F29" s="96" t="str">
        <f>IFERROR(__xludf.DUMMYFUNCTION("""COMPUTED_VALUE"""),"Medicinal Herb")</f>
        <v>Medicinal Herb</v>
      </c>
      <c r="G29" s="96" t="str">
        <f>IFERROR(__xludf.DUMMYFUNCTION("""COMPUTED_VALUE"""),"Moonworth Bulb")</f>
        <v>Moonworth Bulb</v>
      </c>
      <c r="H29" s="96" t="str">
        <f>IFERROR(__xludf.DUMMYFUNCTION("""COMPUTED_VALUE"""),"The Manglegrove")</f>
        <v>The Manglegrove</v>
      </c>
    </row>
    <row r="30">
      <c r="A30" s="92"/>
      <c r="B30" s="93" t="str">
        <f>IFERROR(__xludf.DUMMYFUNCTION("""COMPUTED_VALUE"""),"Sham Hatwitch")</f>
        <v>Sham Hatwitch</v>
      </c>
      <c r="C30" s="93" t="str">
        <f>IFERROR(__xludf.DUMMYFUNCTION("""COMPUTED_VALUE"""),"Beast")</f>
        <v>Beast</v>
      </c>
      <c r="D30" s="93">
        <f>IFERROR(__xludf.DUMMYFUNCTION("""COMPUTED_VALUE"""),15.0)</f>
        <v>15</v>
      </c>
      <c r="E30" s="93">
        <f>IFERROR(__xludf.DUMMYFUNCTION("""COMPUTED_VALUE"""),12.0)</f>
        <v>12</v>
      </c>
      <c r="F30" s="93" t="str">
        <f>IFERROR(__xludf.DUMMYFUNCTION("""COMPUTED_VALUE"""),"Hardy Hide")</f>
        <v>Hardy Hide</v>
      </c>
      <c r="G30" s="93" t="str">
        <f>IFERROR(__xludf.DUMMYFUNCTION("""COMPUTED_VALUE"""),"Single Phial")</f>
        <v>Single Phial</v>
      </c>
      <c r="H30" s="93" t="str">
        <f>IFERROR(__xludf.DUMMYFUNCTION("""COMPUTED_VALUE"""),"The Manglegrove")</f>
        <v>The Manglegrove</v>
      </c>
    </row>
    <row r="31">
      <c r="A31" s="95"/>
      <c r="B31" s="96" t="str">
        <f>IFERROR(__xludf.DUMMYFUNCTION("""COMPUTED_VALUE"""),"Leafy Lampling")</f>
        <v>Leafy Lampling</v>
      </c>
      <c r="C31" s="96" t="str">
        <f>IFERROR(__xludf.DUMMYFUNCTION("""COMPUTED_VALUE"""),"Material")</f>
        <v>Material</v>
      </c>
      <c r="D31" s="96">
        <f>IFERROR(__xludf.DUMMYFUNCTION("""COMPUTED_VALUE"""),15.0)</f>
        <v>15</v>
      </c>
      <c r="E31" s="96">
        <f>IFERROR(__xludf.DUMMYFUNCTION("""COMPUTED_VALUE"""),10.0)</f>
        <v>10</v>
      </c>
      <c r="F31" s="96" t="str">
        <f>IFERROR(__xludf.DUMMYFUNCTION("""COMPUTED_VALUE"""),"Copper Ore")</f>
        <v>Copper Ore</v>
      </c>
      <c r="G31" s="96" t="str">
        <f>IFERROR(__xludf.DUMMYFUNCTION("""COMPUTED_VALUE"""),"Lamplight")</f>
        <v>Lamplight</v>
      </c>
      <c r="H31" s="96" t="str">
        <f>IFERROR(__xludf.DUMMYFUNCTION("""COMPUTED_VALUE"""),"The Manglegrove")</f>
        <v>The Manglegrove</v>
      </c>
    </row>
    <row r="32">
      <c r="A32" s="92"/>
      <c r="B32" s="93" t="str">
        <f>IFERROR(__xludf.DUMMYFUNCTION("""COMPUTED_VALUE"""),"Bubble Slime")</f>
        <v>Bubble Slime</v>
      </c>
      <c r="C32" s="93" t="str">
        <f>IFERROR(__xludf.DUMMYFUNCTION("""COMPUTED_VALUE"""),"Slime")</f>
        <v>Slime</v>
      </c>
      <c r="D32" s="93">
        <f>IFERROR(__xludf.DUMMYFUNCTION("""COMPUTED_VALUE"""),17.0)</f>
        <v>17</v>
      </c>
      <c r="E32" s="93">
        <f>IFERROR(__xludf.DUMMYFUNCTION("""COMPUTED_VALUE"""),11.0)</f>
        <v>11</v>
      </c>
      <c r="F32" s="93" t="str">
        <f>IFERROR(__xludf.DUMMYFUNCTION("""COMPUTED_VALUE"""),"Antidotal Herb")</f>
        <v>Antidotal Herb</v>
      </c>
      <c r="G32" s="93" t="str">
        <f>IFERROR(__xludf.DUMMYFUNCTION("""COMPUTED_VALUE"""),"Slimedrop")</f>
        <v>Slimedrop</v>
      </c>
      <c r="H32" s="93" t="str">
        <f>IFERROR(__xludf.DUMMYFUNCTION("""COMPUTED_VALUE"""),"The Manglegrove")</f>
        <v>The Manglegrove</v>
      </c>
    </row>
    <row r="33">
      <c r="A33" s="95"/>
      <c r="B33" s="96" t="str">
        <f>IFERROR(__xludf.DUMMYFUNCTION("""COMPUTED_VALUE"""),"Tricky Devil")</f>
        <v>Tricky Devil</v>
      </c>
      <c r="C33" s="96" t="str">
        <f>IFERROR(__xludf.DUMMYFUNCTION("""COMPUTED_VALUE"""),"Demon")</f>
        <v>Demon</v>
      </c>
      <c r="D33" s="96">
        <f>IFERROR(__xludf.DUMMYFUNCTION("""COMPUTED_VALUE"""),102.0)</f>
        <v>102</v>
      </c>
      <c r="E33" s="96">
        <f>IFERROR(__xludf.DUMMYFUNCTION("""COMPUTED_VALUE"""),74.0)</f>
        <v>74</v>
      </c>
      <c r="F33" s="96" t="str">
        <f>IFERROR(__xludf.DUMMYFUNCTION("""COMPUTED_VALUE"""),"--")</f>
        <v>--</v>
      </c>
      <c r="G33" s="96" t="str">
        <f>IFERROR(__xludf.DUMMYFUNCTION("""COMPUTED_VALUE"""),"--")</f>
        <v>--</v>
      </c>
      <c r="H33" s="101"/>
    </row>
    <row r="34">
      <c r="A34" s="92"/>
      <c r="B34" s="93" t="str">
        <f>IFERROR(__xludf.DUMMYFUNCTION("""COMPUTED_VALUE"""),"Gloomy Grublin")</f>
        <v>Gloomy Grublin</v>
      </c>
      <c r="C34" s="93" t="str">
        <f>IFERROR(__xludf.DUMMYFUNCTION("""COMPUTED_VALUE"""),"Humanoid")</f>
        <v>Humanoid</v>
      </c>
      <c r="D34" s="93">
        <f>IFERROR(__xludf.DUMMYFUNCTION("""COMPUTED_VALUE"""),16.0)</f>
        <v>16</v>
      </c>
      <c r="E34" s="93">
        <f>IFERROR(__xludf.DUMMYFUNCTION("""COMPUTED_VALUE"""),14.0)</f>
        <v>14</v>
      </c>
      <c r="F34" s="93" t="str">
        <f>IFERROR(__xludf.DUMMYFUNCTION("""COMPUTED_VALUE"""),"Copper Sword")</f>
        <v>Copper Sword</v>
      </c>
      <c r="G34" s="93" t="str">
        <f>IFERROR(__xludf.DUMMYFUNCTION("""COMPUTED_VALUE"""),"Blue Eye")</f>
        <v>Blue Eye</v>
      </c>
      <c r="H34" s="93" t="str">
        <f>IFERROR(__xludf.DUMMYFUNCTION("""COMPUTED_VALUE"""),"Heliodorian Foothills, The Manglegrove")</f>
        <v>Heliodorian Foothills, The Manglegrove</v>
      </c>
    </row>
    <row r="35">
      <c r="A35" s="95"/>
      <c r="B35" s="96" t="str">
        <f>IFERROR(__xludf.DUMMYFUNCTION("""COMPUTED_VALUE"""),"Healslime")</f>
        <v>Healslime</v>
      </c>
      <c r="C35" s="96" t="str">
        <f>IFERROR(__xludf.DUMMYFUNCTION("""COMPUTED_VALUE"""),"Slime")</f>
        <v>Slime</v>
      </c>
      <c r="D35" s="96">
        <f>IFERROR(__xludf.DUMMYFUNCTION("""COMPUTED_VALUE"""),18.0)</f>
        <v>18</v>
      </c>
      <c r="E35" s="96">
        <f>IFERROR(__xludf.DUMMYFUNCTION("""COMPUTED_VALUE"""),12.0)</f>
        <v>12</v>
      </c>
      <c r="F35" s="96" t="str">
        <f>IFERROR(__xludf.DUMMYFUNCTION("""COMPUTED_VALUE"""),"Single Phial")</f>
        <v>Single Phial</v>
      </c>
      <c r="G35" s="96" t="str">
        <f>IFERROR(__xludf.DUMMYFUNCTION("""COMPUTED_VALUE"""),"Slimedrop")</f>
        <v>Slimedrop</v>
      </c>
      <c r="H35" s="96" t="str">
        <f>IFERROR(__xludf.DUMMYFUNCTION("""COMPUTED_VALUE"""),"Heliodorian Foothills")</f>
        <v>Heliodorian Foothills</v>
      </c>
    </row>
    <row r="36">
      <c r="A36" s="92"/>
      <c r="B36" s="93" t="str">
        <f>IFERROR(__xludf.DUMMYFUNCTION("""COMPUTED_VALUE"""),"Eggsoskeleton")</f>
        <v>Eggsoskeleton</v>
      </c>
      <c r="C36" s="93" t="str">
        <f>IFERROR(__xludf.DUMMYFUNCTION("""COMPUTED_VALUE"""),"Machine")</f>
        <v>Machine</v>
      </c>
      <c r="D36" s="93">
        <f>IFERROR(__xludf.DUMMYFUNCTION("""COMPUTED_VALUE"""),19.0)</f>
        <v>19</v>
      </c>
      <c r="E36" s="93">
        <f>IFERROR(__xludf.DUMMYFUNCTION("""COMPUTED_VALUE"""),17.0)</f>
        <v>17</v>
      </c>
      <c r="F36" s="93" t="str">
        <f>IFERROR(__xludf.DUMMYFUNCTION("""COMPUTED_VALUE"""),"Copper Ore")</f>
        <v>Copper Ore</v>
      </c>
      <c r="G36" s="93" t="str">
        <f>IFERROR(__xludf.DUMMYFUNCTION("""COMPUTED_VALUE"""),"Red Eye")</f>
        <v>Red Eye</v>
      </c>
      <c r="H36" s="100"/>
    </row>
    <row r="37">
      <c r="A37" s="95"/>
      <c r="B37" s="96" t="str">
        <f>IFERROR(__xludf.DUMMYFUNCTION("""COMPUTED_VALUE"""),"Khalamari Kid")</f>
        <v>Khalamari Kid</v>
      </c>
      <c r="C37" s="96" t="str">
        <f>IFERROR(__xludf.DUMMYFUNCTION("""COMPUTED_VALUE"""),"Nature")</f>
        <v>Nature</v>
      </c>
      <c r="D37" s="96">
        <f>IFERROR(__xludf.DUMMYFUNCTION("""COMPUTED_VALUE"""),17.0)</f>
        <v>17</v>
      </c>
      <c r="E37" s="96">
        <f>IFERROR(__xludf.DUMMYFUNCTION("""COMPUTED_VALUE"""),11.0)</f>
        <v>11</v>
      </c>
      <c r="F37" s="96" t="str">
        <f>IFERROR(__xludf.DUMMYFUNCTION("""COMPUTED_VALUE"""),"Sun-Bleached Seashell")</f>
        <v>Sun-Bleached Seashell</v>
      </c>
      <c r="G37" s="96" t="str">
        <f>IFERROR(__xludf.DUMMYFUNCTION("""COMPUTED_VALUE"""),"Pink Pearl")</f>
        <v>Pink Pearl</v>
      </c>
      <c r="H37" s="101"/>
    </row>
    <row r="38">
      <c r="A38" s="92"/>
      <c r="B38" s="93" t="str">
        <f>IFERROR(__xludf.DUMMYFUNCTION("""COMPUTED_VALUE"""),"Crabid")</f>
        <v>Crabid</v>
      </c>
      <c r="C38" s="93" t="str">
        <f>IFERROR(__xludf.DUMMYFUNCTION("""COMPUTED_VALUE"""),"Nature")</f>
        <v>Nature</v>
      </c>
      <c r="D38" s="93">
        <f>IFERROR(__xludf.DUMMYFUNCTION("""COMPUTED_VALUE"""),21.0)</f>
        <v>21</v>
      </c>
      <c r="E38" s="93">
        <f>IFERROR(__xludf.DUMMYFUNCTION("""COMPUTED_VALUE"""),13.0)</f>
        <v>13</v>
      </c>
      <c r="F38" s="93" t="str">
        <f>IFERROR(__xludf.DUMMYFUNCTION("""COMPUTED_VALUE"""),"Tiny Tortoise Shell")</f>
        <v>Tiny Tortoise Shell</v>
      </c>
      <c r="G38" s="93" t="str">
        <f>IFERROR(__xludf.DUMMYFUNCTION("""COMPUTED_VALUE"""),"Crimson Coral")</f>
        <v>Crimson Coral</v>
      </c>
      <c r="H38" s="93" t="str">
        <f>IFERROR(__xludf.DUMMYFUNCTION("""COMPUTED_VALUE"""),"Laguna di Gondolia")</f>
        <v>Laguna di Gondolia</v>
      </c>
    </row>
    <row r="39">
      <c r="A39" s="95"/>
      <c r="B39" s="96" t="str">
        <f>IFERROR(__xludf.DUMMYFUNCTION("""COMPUTED_VALUE"""),"Garuda")</f>
        <v>Garuda</v>
      </c>
      <c r="C39" s="96" t="str">
        <f>IFERROR(__xludf.DUMMYFUNCTION("""COMPUTED_VALUE"""),"Bird")</f>
        <v>Bird</v>
      </c>
      <c r="D39" s="96">
        <f>IFERROR(__xludf.DUMMYFUNCTION("""COMPUTED_VALUE"""),35.0)</f>
        <v>35</v>
      </c>
      <c r="E39" s="96">
        <f>IFERROR(__xludf.DUMMYFUNCTION("""COMPUTED_VALUE"""),16.0)</f>
        <v>16</v>
      </c>
      <c r="F39" s="96" t="str">
        <f>IFERROR(__xludf.DUMMYFUNCTION("""COMPUTED_VALUE"""),"Flurry Feather")</f>
        <v>Flurry Feather</v>
      </c>
      <c r="G39" s="96" t="str">
        <f>IFERROR(__xludf.DUMMYFUNCTION("""COMPUTED_VALUE"""),"Poison Moth Knife")</f>
        <v>Poison Moth Knife</v>
      </c>
      <c r="H39" s="96" t="str">
        <f>IFERROR(__xludf.DUMMYFUNCTION("""COMPUTED_VALUE"""),"Heliodorian Foothills")</f>
        <v>Heliodorian Foothills</v>
      </c>
    </row>
    <row r="40">
      <c r="A40" s="92"/>
      <c r="B40" s="93" t="str">
        <f>IFERROR(__xludf.DUMMYFUNCTION("""COMPUTED_VALUE"""),"Little Devil")</f>
        <v>Little Devil</v>
      </c>
      <c r="C40" s="93" t="str">
        <f>IFERROR(__xludf.DUMMYFUNCTION("""COMPUTED_VALUE"""),"Demon")</f>
        <v>Demon</v>
      </c>
      <c r="D40" s="93">
        <f>IFERROR(__xludf.DUMMYFUNCTION("""COMPUTED_VALUE"""),24.0)</f>
        <v>24</v>
      </c>
      <c r="E40" s="93">
        <f>IFERROR(__xludf.DUMMYFUNCTION("""COMPUTED_VALUE"""),12.0)</f>
        <v>12</v>
      </c>
      <c r="F40" s="93" t="str">
        <f>IFERROR(__xludf.DUMMYFUNCTION("""COMPUTED_VALUE"""),"Single Phial")</f>
        <v>Single Phial</v>
      </c>
      <c r="G40" s="93" t="str">
        <f>IFERROR(__xludf.DUMMYFUNCTION("""COMPUTED_VALUE"""),"Wing of Bat")</f>
        <v>Wing of Bat</v>
      </c>
      <c r="H40" s="100"/>
    </row>
    <row r="41">
      <c r="A41" s="95"/>
      <c r="B41" s="96" t="str">
        <f>IFERROR(__xludf.DUMMYFUNCTION("""COMPUTED_VALUE"""),"Mecha-Mynah")</f>
        <v>Mecha-Mynah</v>
      </c>
      <c r="C41" s="96" t="str">
        <f>IFERROR(__xludf.DUMMYFUNCTION("""COMPUTED_VALUE"""),"Machine")</f>
        <v>Machine</v>
      </c>
      <c r="D41" s="96">
        <f>IFERROR(__xludf.DUMMYFUNCTION("""COMPUTED_VALUE"""),26.0)</f>
        <v>26</v>
      </c>
      <c r="E41" s="96">
        <f>IFERROR(__xludf.DUMMYFUNCTION("""COMPUTED_VALUE"""),20.0)</f>
        <v>20</v>
      </c>
      <c r="F41" s="96" t="str">
        <f>IFERROR(__xludf.DUMMYFUNCTION("""COMPUTED_VALUE"""),"Copper Ore")</f>
        <v>Copper Ore</v>
      </c>
      <c r="G41" s="96" t="str">
        <f>IFERROR(__xludf.DUMMYFUNCTION("""COMPUTED_VALUE"""),"Chimaera Wing")</f>
        <v>Chimaera Wing</v>
      </c>
      <c r="H41" s="101"/>
    </row>
    <row r="42">
      <c r="A42" s="92"/>
      <c r="B42" s="93" t="str">
        <f>IFERROR(__xludf.DUMMYFUNCTION("""COMPUTED_VALUE"""),"Grim Gryphon")</f>
        <v>Grim Gryphon</v>
      </c>
      <c r="C42" s="93" t="str">
        <f>IFERROR(__xludf.DUMMYFUNCTION("""COMPUTED_VALUE"""),"Bird")</f>
        <v>Bird</v>
      </c>
      <c r="D42" s="93">
        <f>IFERROR(__xludf.DUMMYFUNCTION("""COMPUTED_VALUE"""),121.0)</f>
        <v>121</v>
      </c>
      <c r="E42" s="93">
        <f>IFERROR(__xludf.DUMMYFUNCTION("""COMPUTED_VALUE"""),30.0)</f>
        <v>30</v>
      </c>
      <c r="F42" s="93" t="str">
        <f>IFERROR(__xludf.DUMMYFUNCTION("""COMPUTED_VALUE"""),"Twisted Talons")</f>
        <v>Twisted Talons</v>
      </c>
      <c r="G42" s="93" t="str">
        <f>IFERROR(__xludf.DUMMYFUNCTION("""COMPUTED_VALUE"""),"Drasilian Guinea")</f>
        <v>Drasilian Guinea</v>
      </c>
      <c r="H42" s="93" t="str">
        <f>IFERROR(__xludf.DUMMYFUNCTION("""COMPUTED_VALUE"""),"The Eerie Eyrie")</f>
        <v>The Eerie Eyrie</v>
      </c>
    </row>
    <row r="43">
      <c r="A43" s="95"/>
      <c r="B43" s="96" t="str">
        <f>IFERROR(__xludf.DUMMYFUNCTION("""COMPUTED_VALUE"""),"She-Slime")</f>
        <v>She-Slime</v>
      </c>
      <c r="C43" s="96" t="str">
        <f>IFERROR(__xludf.DUMMYFUNCTION("""COMPUTED_VALUE"""),"Slime")</f>
        <v>Slime</v>
      </c>
      <c r="D43" s="96">
        <f>IFERROR(__xludf.DUMMYFUNCTION("""COMPUTED_VALUE"""),20.0)</f>
        <v>20</v>
      </c>
      <c r="E43" s="96">
        <f>IFERROR(__xludf.DUMMYFUNCTION("""COMPUTED_VALUE"""),15.0)</f>
        <v>15</v>
      </c>
      <c r="F43" s="96" t="str">
        <f>IFERROR(__xludf.DUMMYFUNCTION("""COMPUTED_VALUE"""),"Medicinal Herb")</f>
        <v>Medicinal Herb</v>
      </c>
      <c r="G43" s="96" t="str">
        <f>IFERROR(__xludf.DUMMYFUNCTION("""COMPUTED_VALUE"""),"Slimedrop")</f>
        <v>Slimedrop</v>
      </c>
      <c r="H43" s="101"/>
    </row>
    <row r="44">
      <c r="A44" s="92"/>
      <c r="B44" s="93" t="str">
        <f>IFERROR(__xludf.DUMMYFUNCTION("""COMPUTED_VALUE"""),"Bongo Drongo")</f>
        <v>Bongo Drongo</v>
      </c>
      <c r="C44" s="93" t="str">
        <f>IFERROR(__xludf.DUMMYFUNCTION("""COMPUTED_VALUE"""),"Material")</f>
        <v>Material</v>
      </c>
      <c r="D44" s="93">
        <f>IFERROR(__xludf.DUMMYFUNCTION("""COMPUTED_VALUE"""),33.0)</f>
        <v>33</v>
      </c>
      <c r="E44" s="93">
        <f>IFERROR(__xludf.DUMMYFUNCTION("""COMPUTED_VALUE"""),18.0)</f>
        <v>18</v>
      </c>
      <c r="F44" s="93" t="str">
        <f>IFERROR(__xludf.DUMMYFUNCTION("""COMPUTED_VALUE"""),"Strong Medicine")</f>
        <v>Strong Medicine</v>
      </c>
      <c r="G44" s="93" t="str">
        <f>IFERROR(__xludf.DUMMYFUNCTION("""COMPUTED_VALUE"""),"Finessence")</f>
        <v>Finessence</v>
      </c>
      <c r="H44" s="100"/>
    </row>
    <row r="45">
      <c r="A45" s="95"/>
      <c r="B45" s="96" t="str">
        <f>IFERROR(__xludf.DUMMYFUNCTION("""COMPUTED_VALUE"""),"Lump Wizard")</f>
        <v>Lump Wizard</v>
      </c>
      <c r="C45" s="96" t="str">
        <f>IFERROR(__xludf.DUMMYFUNCTION("""COMPUTED_VALUE"""),"Humanoid")</f>
        <v>Humanoid</v>
      </c>
      <c r="D45" s="96">
        <f>IFERROR(__xludf.DUMMYFUNCTION("""COMPUTED_VALUE"""),27.0)</f>
        <v>27</v>
      </c>
      <c r="E45" s="96">
        <f>IFERROR(__xludf.DUMMYFUNCTION("""COMPUTED_VALUE"""),18.0)</f>
        <v>18</v>
      </c>
      <c r="F45" s="96" t="str">
        <f>IFERROR(__xludf.DUMMYFUNCTION("""COMPUTED_VALUE"""),"Holy Water")</f>
        <v>Holy Water</v>
      </c>
      <c r="G45" s="96" t="str">
        <f>IFERROR(__xludf.DUMMYFUNCTION("""COMPUTED_VALUE"""),"Wizard's Staff")</f>
        <v>Wizard's Staff</v>
      </c>
      <c r="H45" s="96" t="str">
        <f>IFERROR(__xludf.DUMMYFUNCTION("""COMPUTED_VALUE"""),"The Cryptic Crypt")</f>
        <v>The Cryptic Crypt</v>
      </c>
    </row>
    <row r="46">
      <c r="A46" s="98"/>
      <c r="B46" s="93" t="str">
        <f>IFERROR(__xludf.DUMMYFUNCTION("""COMPUTED_VALUE"""),"Drohl Drone")</f>
        <v>Drohl Drone</v>
      </c>
      <c r="C46" s="93" t="str">
        <f>IFERROR(__xludf.DUMMYFUNCTION("""COMPUTED_VALUE"""),"Undead")</f>
        <v>Undead</v>
      </c>
      <c r="D46" s="93">
        <f>IFERROR(__xludf.DUMMYFUNCTION("""COMPUTED_VALUE"""),22.0)</f>
        <v>22</v>
      </c>
      <c r="E46" s="93">
        <f>IFERROR(__xludf.DUMMYFUNCTION("""COMPUTED_VALUE"""),16.0)</f>
        <v>16</v>
      </c>
      <c r="F46" s="93" t="str">
        <f>IFERROR(__xludf.DUMMYFUNCTION("""COMPUTED_VALUE"""),"Holy Water")</f>
        <v>Holy Water</v>
      </c>
      <c r="G46" s="93" t="str">
        <f>IFERROR(__xludf.DUMMYFUNCTION("""COMPUTED_VALUE"""),"Single Phial")</f>
        <v>Single Phial</v>
      </c>
      <c r="H46" s="100"/>
    </row>
    <row r="47">
      <c r="A47" s="99" t="str">
        <f>IFERROR(__xludf.DUMMYFUNCTION("""COMPUTED_VALUE"""),"P3")</f>
        <v>P3</v>
      </c>
      <c r="B47" s="96" t="str">
        <f>IFERROR(__xludf.DUMMYFUNCTION("""COMPUTED_VALUE"""),"Walking Corpse")</f>
        <v>Walking Corpse</v>
      </c>
      <c r="C47" s="101" t="str">
        <f>IFERROR(__xludf.DUMMYFUNCTION("""COMPUTED_VALUE"""),"Undead")</f>
        <v>Undead</v>
      </c>
      <c r="D47" s="101">
        <f>IFERROR(__xludf.DUMMYFUNCTION("""COMPUTED_VALUE"""),37.0)</f>
        <v>37</v>
      </c>
      <c r="E47" s="101">
        <f>IFERROR(__xludf.DUMMYFUNCTION("""COMPUTED_VALUE"""),23.0)</f>
        <v>23</v>
      </c>
      <c r="F47" s="101" t="str">
        <f>IFERROR(__xludf.DUMMYFUNCTION("""COMPUTED_VALUE"""),"Antidotal Herb")</f>
        <v>Antidotal Herb</v>
      </c>
      <c r="G47" s="101" t="str">
        <f>IFERROR(__xludf.DUMMYFUNCTION("""COMPUTED_VALUE"""),"Chain Mail")</f>
        <v>Chain Mail</v>
      </c>
      <c r="H47" s="101" t="str">
        <f>IFERROR(__xludf.DUMMYFUNCTION("""COMPUTED_VALUE"""),"The Cryptic Crypt, Laguna di Gondolia")</f>
        <v>The Cryptic Crypt, Laguna di Gondolia</v>
      </c>
    </row>
    <row r="48">
      <c r="A48" s="92"/>
      <c r="B48" s="93" t="str">
        <f>IFERROR(__xludf.DUMMYFUNCTION("""COMPUTED_VALUE"""),"Robber Rabbit")</f>
        <v>Robber Rabbit</v>
      </c>
      <c r="C48" s="100" t="str">
        <f>IFERROR(__xludf.DUMMYFUNCTION("""COMPUTED_VALUE"""),"Beast")</f>
        <v>Beast</v>
      </c>
      <c r="D48" s="100">
        <f>IFERROR(__xludf.DUMMYFUNCTION("""COMPUTED_VALUE"""),56.0)</f>
        <v>56</v>
      </c>
      <c r="E48" s="100">
        <f>IFERROR(__xludf.DUMMYFUNCTION("""COMPUTED_VALUE"""),36.0)</f>
        <v>36</v>
      </c>
      <c r="F48" s="100" t="str">
        <f>IFERROR(__xludf.DUMMYFUNCTION("""COMPUTED_VALUE"""),"Hardy Hide")</f>
        <v>Hardy Hide</v>
      </c>
      <c r="G48" s="100" t="str">
        <f>IFERROR(__xludf.DUMMYFUNCTION("""COMPUTED_VALUE"""),"Robber Gloves")</f>
        <v>Robber Gloves</v>
      </c>
      <c r="H48" s="100"/>
    </row>
    <row r="49">
      <c r="A49" s="95"/>
      <c r="B49" s="96" t="str">
        <f>IFERROR(__xludf.DUMMYFUNCTION("""COMPUTED_VALUE"""),"Ursa Minor")</f>
        <v>Ursa Minor</v>
      </c>
      <c r="C49" s="101" t="str">
        <f>IFERROR(__xludf.DUMMYFUNCTION("""COMPUTED_VALUE"""),"Beast")</f>
        <v>Beast</v>
      </c>
      <c r="D49" s="101">
        <f>IFERROR(__xludf.DUMMYFUNCTION("""COMPUTED_VALUE"""),71.0)</f>
        <v>71</v>
      </c>
      <c r="E49" s="101">
        <f>IFERROR(__xludf.DUMMYFUNCTION("""COMPUTED_VALUE"""),28.0)</f>
        <v>28</v>
      </c>
      <c r="F49" s="101" t="str">
        <f>IFERROR(__xludf.DUMMYFUNCTION("""COMPUTED_VALUE"""),"Magic Beast Hide")</f>
        <v>Magic Beast Hide</v>
      </c>
      <c r="G49" s="101" t="str">
        <f>IFERROR(__xludf.DUMMYFUNCTION("""COMPUTED_VALUE"""),"Tough Guy Tattoo")</f>
        <v>Tough Guy Tattoo</v>
      </c>
      <c r="H49" s="101"/>
    </row>
    <row r="50">
      <c r="A50" s="92"/>
      <c r="B50" s="102" t="str">
        <f>IFERROR(__xludf.DUMMYFUNCTION("""COMPUTED_VALUE"""),"Ursa Panda (Rarefied)")</f>
        <v>Ursa Panda (Rarefied)</v>
      </c>
      <c r="C50" s="93" t="str">
        <f>IFERROR(__xludf.DUMMYFUNCTION("""COMPUTED_VALUE"""),"Beast")</f>
        <v>Beast</v>
      </c>
      <c r="D50" s="93">
        <f>IFERROR(__xludf.DUMMYFUNCTION("""COMPUTED_VALUE"""),1273.0)</f>
        <v>1273</v>
      </c>
      <c r="E50" s="93">
        <f>IFERROR(__xludf.DUMMYFUNCTION("""COMPUTED_VALUE"""),318.0)</f>
        <v>318</v>
      </c>
      <c r="F50" s="93" t="str">
        <f>IFERROR(__xludf.DUMMYFUNCTION("""COMPUTED_VALUE"""),"Ethereal Stone")</f>
        <v>Ethereal Stone</v>
      </c>
      <c r="G50" s="93" t="str">
        <f>IFERROR(__xludf.DUMMYFUNCTION("""COMPUTED_VALUE"""),"Tital Belt")</f>
        <v>Tital Belt</v>
      </c>
      <c r="H50" s="93" t="str">
        <f>IFERROR(__xludf.DUMMYFUNCTION("""COMPUTED_VALUE"""),"Sage's Trial - Fierce Forest (Day), rare Vicious Ursa Minor")</f>
        <v>Sage's Trial - Fierce Forest (Day), rare Vicious Ursa Minor</v>
      </c>
    </row>
    <row r="51">
      <c r="A51" s="95"/>
      <c r="B51" s="96" t="str">
        <f>IFERROR(__xludf.DUMMYFUNCTION("""COMPUTED_VALUE"""),"Drackmage")</f>
        <v>Drackmage</v>
      </c>
      <c r="C51" s="101" t="str">
        <f>IFERROR(__xludf.DUMMYFUNCTION("""COMPUTED_VALUE"""),"Bird")</f>
        <v>Bird</v>
      </c>
      <c r="D51" s="101">
        <f>IFERROR(__xludf.DUMMYFUNCTION("""COMPUTED_VALUE"""),23.0)</f>
        <v>23</v>
      </c>
      <c r="E51" s="101">
        <f>IFERROR(__xludf.DUMMYFUNCTION("""COMPUTED_VALUE"""),13.0)</f>
        <v>13</v>
      </c>
      <c r="F51" s="101" t="str">
        <f>IFERROR(__xludf.DUMMYFUNCTION("""COMPUTED_VALUE"""),"Wing of Bat")</f>
        <v>Wing of Bat</v>
      </c>
      <c r="G51" s="101" t="str">
        <f>IFERROR(__xludf.DUMMYFUNCTION("""COMPUTED_VALUE"""),"Green Eye")</f>
        <v>Green Eye</v>
      </c>
      <c r="H51" s="101" t="str">
        <f>IFERROR(__xludf.DUMMYFUNCTION("""COMPUTED_VALUE"""),"The Cryptic Crypt")</f>
        <v>The Cryptic Crypt</v>
      </c>
    </row>
    <row r="52">
      <c r="A52" s="92"/>
      <c r="B52" s="93" t="str">
        <f>IFERROR(__xludf.DUMMYFUNCTION("""COMPUTED_VALUE"""),"Mud Mannequin")</f>
        <v>Mud Mannequin</v>
      </c>
      <c r="C52" s="100" t="str">
        <f>IFERROR(__xludf.DUMMYFUNCTION("""COMPUTED_VALUE"""),"Material")</f>
        <v>Material</v>
      </c>
      <c r="D52" s="100">
        <f>IFERROR(__xludf.DUMMYFUNCTION("""COMPUTED_VALUE"""),30.0)</f>
        <v>30</v>
      </c>
      <c r="E52" s="100">
        <f>IFERROR(__xludf.DUMMYFUNCTION("""COMPUTED_VALUE"""),14.0)</f>
        <v>14</v>
      </c>
      <c r="F52" s="100" t="str">
        <f>IFERROR(__xludf.DUMMYFUNCTION("""COMPUTED_VALUE"""),"Glass Frit")</f>
        <v>Glass Frit</v>
      </c>
      <c r="G52" s="100" t="str">
        <f>IFERROR(__xludf.DUMMYFUNCTION("""COMPUTED_VALUE"""),"Single Phial")</f>
        <v>Single Phial</v>
      </c>
      <c r="H52" s="100"/>
    </row>
    <row r="53">
      <c r="A53" s="95"/>
      <c r="B53" s="96" t="str">
        <f>IFERROR(__xludf.DUMMYFUNCTION("""COMPUTED_VALUE"""),"Skullrider")</f>
        <v>Skullrider</v>
      </c>
      <c r="C53" s="101" t="str">
        <f>IFERROR(__xludf.DUMMYFUNCTION("""COMPUTED_VALUE"""),"Undead")</f>
        <v>Undead</v>
      </c>
      <c r="D53" s="101">
        <f>IFERROR(__xludf.DUMMYFUNCTION("""COMPUTED_VALUE"""),44.0)</f>
        <v>44</v>
      </c>
      <c r="E53" s="101">
        <f>IFERROR(__xludf.DUMMYFUNCTION("""COMPUTED_VALUE"""),24.0)</f>
        <v>24</v>
      </c>
      <c r="F53" s="101" t="str">
        <f>IFERROR(__xludf.DUMMYFUNCTION("""COMPUTED_VALUE"""),"Beast Bone")</f>
        <v>Beast Bone</v>
      </c>
      <c r="G53" s="101" t="str">
        <f>IFERROR(__xludf.DUMMYFUNCTION("""COMPUTED_VALUE"""),"Soldier's Sword")</f>
        <v>Soldier's Sword</v>
      </c>
      <c r="H53" s="101"/>
    </row>
    <row r="54">
      <c r="A54" s="92"/>
      <c r="B54" s="93" t="str">
        <f>IFERROR(__xludf.DUMMYFUNCTION("""COMPUTED_VALUE"""),"Jarvis")</f>
        <v>Jarvis</v>
      </c>
      <c r="C54" s="100" t="str">
        <f>IFERROR(__xludf.DUMMYFUNCTION("""COMPUTED_VALUE"""),"Dragon")</f>
        <v>Dragon</v>
      </c>
      <c r="D54" s="100">
        <f>IFERROR(__xludf.DUMMYFUNCTION("""COMPUTED_VALUE"""),460.0)</f>
        <v>460</v>
      </c>
      <c r="E54" s="100">
        <f>IFERROR(__xludf.DUMMYFUNCTION("""COMPUTED_VALUE"""),350.0)</f>
        <v>350</v>
      </c>
      <c r="F54" s="100" t="str">
        <f>IFERROR(__xludf.DUMMYFUNCTION("""COMPUTED_VALUE"""),"--")</f>
        <v>--</v>
      </c>
      <c r="G54" s="100" t="str">
        <f>IFERROR(__xludf.DUMMYFUNCTION("""COMPUTED_VALUE"""),"--")</f>
        <v>--</v>
      </c>
      <c r="H54" s="100" t="str">
        <f>IFERROR(__xludf.DUMMYFUNCTION("""COMPUTED_VALUE"""),"--")</f>
        <v>--</v>
      </c>
    </row>
    <row r="55">
      <c r="A55" s="95"/>
      <c r="B55" s="96" t="str">
        <f>IFERROR(__xludf.DUMMYFUNCTION("""COMPUTED_VALUE"""),"Jarvis's Shadow")</f>
        <v>Jarvis's Shadow</v>
      </c>
      <c r="C55" s="101" t="str">
        <f>IFERROR(__xludf.DUMMYFUNCTION("""COMPUTED_VALUE"""),"Elemental")</f>
        <v>Elemental</v>
      </c>
      <c r="D55" s="101">
        <f>IFERROR(__xludf.DUMMYFUNCTION("""COMPUTED_VALUE"""),70.0)</f>
        <v>70</v>
      </c>
      <c r="E55" s="101">
        <f>IFERROR(__xludf.DUMMYFUNCTION("""COMPUTED_VALUE"""),50.0)</f>
        <v>50</v>
      </c>
      <c r="F55" s="101" t="str">
        <f>IFERROR(__xludf.DUMMYFUNCTION("""COMPUTED_VALUE"""),"--")</f>
        <v>--</v>
      </c>
      <c r="G55" s="101" t="str">
        <f>IFERROR(__xludf.DUMMYFUNCTION("""COMPUTED_VALUE"""),"--")</f>
        <v>--</v>
      </c>
      <c r="H55" s="101" t="str">
        <f>IFERROR(__xludf.DUMMYFUNCTION("""COMPUTED_VALUE"""),"--")</f>
        <v>--</v>
      </c>
    </row>
    <row r="56">
      <c r="A56" s="92"/>
      <c r="B56" s="93" t="str">
        <f>IFERROR(__xludf.DUMMYFUNCTION("""COMPUTED_VALUE"""),"Brownie")</f>
        <v>Brownie</v>
      </c>
      <c r="C56" s="100" t="str">
        <f>IFERROR(__xludf.DUMMYFUNCTION("""COMPUTED_VALUE"""),"Humanoid")</f>
        <v>Humanoid</v>
      </c>
      <c r="D56" s="100">
        <f>IFERROR(__xludf.DUMMYFUNCTION("""COMPUTED_VALUE"""),75.0)</f>
        <v>75</v>
      </c>
      <c r="E56" s="100">
        <f>IFERROR(__xludf.DUMMYFUNCTION("""COMPUTED_VALUE"""),32.0)</f>
        <v>32</v>
      </c>
      <c r="F56" s="100" t="str">
        <f>IFERROR(__xludf.DUMMYFUNCTION("""COMPUTED_VALUE"""),"Witherwood")</f>
        <v>Witherwood</v>
      </c>
      <c r="G56" s="100" t="str">
        <f>IFERROR(__xludf.DUMMYFUNCTION("""COMPUTED_VALUE"""),"Seed of Strength")</f>
        <v>Seed of Strength</v>
      </c>
      <c r="H56" s="100" t="str">
        <f>IFERROR(__xludf.DUMMYFUNCTION("""COMPUTED_VALUE"""),"--")</f>
        <v>--</v>
      </c>
    </row>
    <row r="57">
      <c r="A57" s="95"/>
      <c r="B57" s="96" t="str">
        <f>IFERROR(__xludf.DUMMYFUNCTION("""COMPUTED_VALUE"""),"Chimaera")</f>
        <v>Chimaera</v>
      </c>
      <c r="C57" s="101" t="str">
        <f>IFERROR(__xludf.DUMMYFUNCTION("""COMPUTED_VALUE"""),"Bird")</f>
        <v>Bird</v>
      </c>
      <c r="D57" s="101">
        <f>IFERROR(__xludf.DUMMYFUNCTION("""COMPUTED_VALUE"""),65.0)</f>
        <v>65</v>
      </c>
      <c r="E57" s="101">
        <f>IFERROR(__xludf.DUMMYFUNCTION("""COMPUTED_VALUE"""),26.0)</f>
        <v>26</v>
      </c>
      <c r="F57" s="101" t="str">
        <f>IFERROR(__xludf.DUMMYFUNCTION("""COMPUTED_VALUE"""),"Chimaera Wing")</f>
        <v>Chimaera Wing</v>
      </c>
      <c r="G57" s="101" t="str">
        <f>IFERROR(__xludf.DUMMYFUNCTION("""COMPUTED_VALUE"""),"Flurry Feather")</f>
        <v>Flurry Feather</v>
      </c>
      <c r="H57" s="101"/>
    </row>
    <row r="58">
      <c r="A58" s="92"/>
      <c r="B58" s="93" t="str">
        <f>IFERROR(__xludf.DUMMYFUNCTION("""COMPUTED_VALUE"""),"Prestidigitator")</f>
        <v>Prestidigitator</v>
      </c>
      <c r="C58" s="100" t="str">
        <f>IFERROR(__xludf.DUMMYFUNCTION("""COMPUTED_VALUE"""),"Humanoid")</f>
        <v>Humanoid</v>
      </c>
      <c r="D58" s="100">
        <f>IFERROR(__xludf.DUMMYFUNCTION("""COMPUTED_VALUE"""),70.0)</f>
        <v>70</v>
      </c>
      <c r="E58" s="100">
        <f>IFERROR(__xludf.DUMMYFUNCTION("""COMPUTED_VALUE"""),35.0)</f>
        <v>35</v>
      </c>
      <c r="F58" s="100" t="str">
        <f>IFERROR(__xludf.DUMMYFUNCTION("""COMPUTED_VALUE"""),"Single Phial")</f>
        <v>Single Phial</v>
      </c>
      <c r="G58" s="100" t="str">
        <f>IFERROR(__xludf.DUMMYFUNCTION("""COMPUTED_VALUE"""),"Magic Water")</f>
        <v>Magic Water</v>
      </c>
      <c r="H58" s="100"/>
    </row>
    <row r="59">
      <c r="A59" s="95"/>
      <c r="B59" s="96" t="str">
        <f>IFERROR(__xludf.DUMMYFUNCTION("""COMPUTED_VALUE"""),"Haystack Needler")</f>
        <v>Haystack Needler</v>
      </c>
      <c r="C59" s="101" t="str">
        <f>IFERROR(__xludf.DUMMYFUNCTION("""COMPUTED_VALUE"""),"Humanoid")</f>
        <v>Humanoid</v>
      </c>
      <c r="D59" s="101">
        <f>IFERROR(__xludf.DUMMYFUNCTION("""COMPUTED_VALUE"""),50.0)</f>
        <v>50</v>
      </c>
      <c r="E59" s="101">
        <f>IFERROR(__xludf.DUMMYFUNCTION("""COMPUTED_VALUE"""),23.0)</f>
        <v>23</v>
      </c>
      <c r="F59" s="101" t="str">
        <f>IFERROR(__xludf.DUMMYFUNCTION("""COMPUTED_VALUE"""),"Lambswool")</f>
        <v>Lambswool</v>
      </c>
      <c r="G59" s="101" t="str">
        <f>IFERROR(__xludf.DUMMYFUNCTION("""COMPUTED_VALUE"""),"Rockbomb Shard")</f>
        <v>Rockbomb Shard</v>
      </c>
      <c r="H59" s="101"/>
    </row>
    <row r="60">
      <c r="A60" s="92"/>
      <c r="B60" s="93" t="str">
        <f>IFERROR(__xludf.DUMMYFUNCTION("""COMPUTED_VALUE"""),"Cactiball")</f>
        <v>Cactiball</v>
      </c>
      <c r="C60" s="100" t="str">
        <f>IFERROR(__xludf.DUMMYFUNCTION("""COMPUTED_VALUE"""),"Nature")</f>
        <v>Nature</v>
      </c>
      <c r="D60" s="100">
        <f>IFERROR(__xludf.DUMMYFUNCTION("""COMPUTED_VALUE"""),61.0)</f>
        <v>61</v>
      </c>
      <c r="E60" s="100">
        <f>IFERROR(__xludf.DUMMYFUNCTION("""COMPUTED_VALUE"""),29.0)</f>
        <v>29</v>
      </c>
      <c r="F60" s="100" t="str">
        <f>IFERROR(__xludf.DUMMYFUNCTION("""COMPUTED_VALUE"""),"Duneberry")</f>
        <v>Duneberry</v>
      </c>
      <c r="G60" s="100" t="str">
        <f>IFERROR(__xludf.DUMMYFUNCTION("""COMPUTED_VALUE"""),"Thorn Whip")</f>
        <v>Thorn Whip</v>
      </c>
      <c r="H60" s="100"/>
    </row>
    <row r="61">
      <c r="A61" s="95"/>
      <c r="B61" s="103" t="str">
        <f>IFERROR(__xludf.DUMMYFUNCTION("""COMPUTED_VALUE"""),"Golden Globe (Rarefied)")</f>
        <v>Golden Globe (Rarefied)</v>
      </c>
      <c r="C61" s="96" t="str">
        <f>IFERROR(__xludf.DUMMYFUNCTION("""COMPUTED_VALUE"""),"Nature")</f>
        <v>Nature</v>
      </c>
      <c r="D61" s="96">
        <f>IFERROR(__xludf.DUMMYFUNCTION("""COMPUTED_VALUE"""),300.0)</f>
        <v>300</v>
      </c>
      <c r="E61" s="96">
        <f>IFERROR(__xludf.DUMMYFUNCTION("""COMPUTED_VALUE"""),120.0)</f>
        <v>120</v>
      </c>
      <c r="F61" s="96" t="str">
        <f>IFERROR(__xludf.DUMMYFUNCTION("""COMPUTED_VALUE"""),"Gold Ore")</f>
        <v>Gold Ore</v>
      </c>
      <c r="G61" s="96" t="str">
        <f>IFERROR(__xludf.DUMMYFUNCTION("""COMPUTED_VALUE"""),"Rousing Ring")</f>
        <v>Rousing Ring</v>
      </c>
      <c r="H61" s="96" t="str">
        <f>IFERROR(__xludf.DUMMYFUNCTION("""COMPUTED_VALUE"""),"Gallopolis Region, rare Cactiball")</f>
        <v>Gallopolis Region, rare Cactiball</v>
      </c>
    </row>
    <row r="62">
      <c r="A62" s="92"/>
      <c r="B62" s="93" t="str">
        <f>IFERROR(__xludf.DUMMYFUNCTION("""COMPUTED_VALUE"""),"Spitzfire")</f>
        <v>Spitzfire</v>
      </c>
      <c r="C62" s="100" t="str">
        <f>IFERROR(__xludf.DUMMYFUNCTION("""COMPUTED_VALUE"""),"Dragon")</f>
        <v>Dragon</v>
      </c>
      <c r="D62" s="100">
        <f>IFERROR(__xludf.DUMMYFUNCTION("""COMPUTED_VALUE"""),243.0)</f>
        <v>243</v>
      </c>
      <c r="E62" s="100">
        <f>IFERROR(__xludf.DUMMYFUNCTION("""COMPUTED_VALUE"""),50.0)</f>
        <v>50</v>
      </c>
      <c r="F62" s="100" t="str">
        <f>IFERROR(__xludf.DUMMYFUNCTION("""COMPUTED_VALUE"""),"Magic Beast Hide")</f>
        <v>Magic Beast Hide</v>
      </c>
      <c r="G62" s="100" t="str">
        <f>IFERROR(__xludf.DUMMYFUNCTION("""COMPUTED_VALUE"""),"Dragon Horn")</f>
        <v>Dragon Horn</v>
      </c>
      <c r="H62" s="100"/>
    </row>
    <row r="63">
      <c r="A63" s="95"/>
      <c r="B63" s="96" t="str">
        <f>IFERROR(__xludf.DUMMYFUNCTION("""COMPUTED_VALUE"""),"Crabber Dabber Doo")</f>
        <v>Crabber Dabber Doo</v>
      </c>
      <c r="C63" s="101" t="str">
        <f>IFERROR(__xludf.DUMMYFUNCTION("""COMPUTED_VALUE"""),"Nature")</f>
        <v>Nature</v>
      </c>
      <c r="D63" s="101">
        <f>IFERROR(__xludf.DUMMYFUNCTION("""COMPUTED_VALUE"""),78.0)</f>
        <v>78</v>
      </c>
      <c r="E63" s="101">
        <f>IFERROR(__xludf.DUMMYFUNCTION("""COMPUTED_VALUE"""),28.0)</f>
        <v>28</v>
      </c>
      <c r="F63" s="101" t="str">
        <f>IFERROR(__xludf.DUMMYFUNCTION("""COMPUTED_VALUE"""),"Tiny Tortoise Shell")</f>
        <v>Tiny Tortoise Shell</v>
      </c>
      <c r="G63" s="101" t="str">
        <f>IFERROR(__xludf.DUMMYFUNCTION("""COMPUTED_VALUE"""),"Poison Moth Knife")</f>
        <v>Poison Moth Knife</v>
      </c>
      <c r="H63" s="101"/>
    </row>
    <row r="64">
      <c r="A64" s="92"/>
      <c r="B64" s="93" t="str">
        <f>IFERROR(__xludf.DUMMYFUNCTION("""COMPUTED_VALUE"""),"Shade")</f>
        <v>Shade</v>
      </c>
      <c r="C64" s="100" t="str">
        <f>IFERROR(__xludf.DUMMYFUNCTION("""COMPUTED_VALUE"""),"???")</f>
        <v>???</v>
      </c>
      <c r="D64" s="100" t="str">
        <f>IFERROR(__xludf.DUMMYFUNCTION("""COMPUTED_VALUE"""),"--")</f>
        <v>--</v>
      </c>
      <c r="E64" s="100" t="str">
        <f>IFERROR(__xludf.DUMMYFUNCTION("""COMPUTED_VALUE"""),"--")</f>
        <v>--</v>
      </c>
      <c r="F64" s="100" t="str">
        <f>IFERROR(__xludf.DUMMYFUNCTION("""COMPUTED_VALUE"""),"--")</f>
        <v>--</v>
      </c>
      <c r="G64" s="100" t="str">
        <f>IFERROR(__xludf.DUMMYFUNCTION("""COMPUTED_VALUE"""),"--")</f>
        <v>--</v>
      </c>
      <c r="H64" s="100" t="str">
        <f>IFERROR(__xludf.DUMMYFUNCTION("""COMPUTED_VALUE"""),"Laguna di Gondolia")</f>
        <v>Laguna di Gondolia</v>
      </c>
    </row>
    <row r="65">
      <c r="A65" s="95"/>
      <c r="B65" s="96" t="str">
        <f>IFERROR(__xludf.DUMMYFUNCTION("""COMPUTED_VALUE"""),"Restless Armour")</f>
        <v>Restless Armour</v>
      </c>
      <c r="C65" s="101" t="str">
        <f>IFERROR(__xludf.DUMMYFUNCTION("""COMPUTED_VALUE"""),"Material")</f>
        <v>Material</v>
      </c>
      <c r="D65" s="101">
        <f>IFERROR(__xludf.DUMMYFUNCTION("""COMPUTED_VALUE"""),91.0)</f>
        <v>91</v>
      </c>
      <c r="E65" s="101">
        <f>IFERROR(__xludf.DUMMYFUNCTION("""COMPUTED_VALUE"""),40.0)</f>
        <v>40</v>
      </c>
      <c r="F65" s="101" t="str">
        <f>IFERROR(__xludf.DUMMYFUNCTION("""COMPUTED_VALUE"""),"Iron Broadsword")</f>
        <v>Iron Broadsword</v>
      </c>
      <c r="G65" s="101" t="str">
        <f>IFERROR(__xludf.DUMMYFUNCTION("""COMPUTED_VALUE"""),"Iron Armour")</f>
        <v>Iron Armour</v>
      </c>
      <c r="H65" s="101"/>
    </row>
    <row r="66">
      <c r="A66" s="98"/>
      <c r="B66" s="93" t="str">
        <f>IFERROR(__xludf.DUMMYFUNCTION("""COMPUTED_VALUE"""),"Flython")</f>
        <v>Flython</v>
      </c>
      <c r="C66" s="100" t="str">
        <f>IFERROR(__xludf.DUMMYFUNCTION("""COMPUTED_VALUE"""),"Dragon")</f>
        <v>Dragon</v>
      </c>
      <c r="D66" s="100">
        <f>IFERROR(__xludf.DUMMYFUNCTION("""COMPUTED_VALUE"""),84.0)</f>
        <v>84</v>
      </c>
      <c r="E66" s="100">
        <f>IFERROR(__xludf.DUMMYFUNCTION("""COMPUTED_VALUE"""),29.0)</f>
        <v>29</v>
      </c>
      <c r="F66" s="100" t="str">
        <f>IFERROR(__xludf.DUMMYFUNCTION("""COMPUTED_VALUE"""),"Snakeskin")</f>
        <v>Snakeskin</v>
      </c>
      <c r="G66" s="100" t="str">
        <f>IFERROR(__xludf.DUMMYFUNCTION("""COMPUTED_VALUE"""),"Blue Eye")</f>
        <v>Blue Eye</v>
      </c>
      <c r="H66" s="100"/>
    </row>
    <row r="67">
      <c r="A67" s="99" t="str">
        <f>IFERROR(__xludf.DUMMYFUNCTION("""COMPUTED_VALUE"""),"P4")</f>
        <v>P4</v>
      </c>
      <c r="B67" s="96" t="str">
        <f>IFERROR(__xludf.DUMMYFUNCTION("""COMPUTED_VALUE"""),"Slayer of the Sands")</f>
        <v>Slayer of the Sands</v>
      </c>
      <c r="C67" s="101" t="str">
        <f>IFERROR(__xludf.DUMMYFUNCTION("""COMPUTED_VALUE"""),"Nature")</f>
        <v>Nature</v>
      </c>
      <c r="D67" s="101">
        <f>IFERROR(__xludf.DUMMYFUNCTION("""COMPUTED_VALUE"""),1440.0)</f>
        <v>1440</v>
      </c>
      <c r="E67" s="101">
        <f>IFERROR(__xludf.DUMMYFUNCTION("""COMPUTED_VALUE"""),1000.0)</f>
        <v>1000</v>
      </c>
      <c r="F67" s="101" t="str">
        <f>IFERROR(__xludf.DUMMYFUNCTION("""COMPUTED_VALUE"""),"--")</f>
        <v>--</v>
      </c>
      <c r="G67" s="101" t="str">
        <f>IFERROR(__xludf.DUMMYFUNCTION("""COMPUTED_VALUE"""),"--")</f>
        <v>--</v>
      </c>
      <c r="H67" s="101" t="str">
        <f>IFERROR(__xludf.DUMMYFUNCTION("""COMPUTED_VALUE"""),"--")</f>
        <v>--</v>
      </c>
    </row>
    <row r="68">
      <c r="A68" s="92"/>
      <c r="B68" s="93" t="str">
        <f>IFERROR(__xludf.DUMMYFUNCTION("""COMPUTED_VALUE"""),"Midnight Horknight")</f>
        <v>Midnight Horknight</v>
      </c>
      <c r="C68" s="100" t="str">
        <f>IFERROR(__xludf.DUMMYFUNCTION("""COMPUTED_VALUE"""),"Humanoid")</f>
        <v>Humanoid</v>
      </c>
      <c r="D68" s="100">
        <f>IFERROR(__xludf.DUMMYFUNCTION("""COMPUTED_VALUE"""),70.0)</f>
        <v>70</v>
      </c>
      <c r="E68" s="100">
        <f>IFERROR(__xludf.DUMMYFUNCTION("""COMPUTED_VALUE"""),28.0)</f>
        <v>28</v>
      </c>
      <c r="F68" s="100" t="str">
        <f>IFERROR(__xludf.DUMMYFUNCTION("""COMPUTED_VALUE"""),"Blue Eye")</f>
        <v>Blue Eye</v>
      </c>
      <c r="G68" s="100" t="str">
        <f>IFERROR(__xludf.DUMMYFUNCTION("""COMPUTED_VALUE"""),"Iron Mask")</f>
        <v>Iron Mask</v>
      </c>
      <c r="H68" s="100" t="str">
        <f>IFERROR(__xludf.DUMMYFUNCTION("""COMPUTED_VALUE"""),"Laguna di Gondolia")</f>
        <v>Laguna di Gondolia</v>
      </c>
    </row>
    <row r="69">
      <c r="A69" s="95"/>
      <c r="B69" s="96" t="str">
        <f>IFERROR(__xludf.DUMMYFUNCTION("""COMPUTED_VALUE"""),"Muddy Hand")</f>
        <v>Muddy Hand</v>
      </c>
      <c r="C69" s="101" t="str">
        <f>IFERROR(__xludf.DUMMYFUNCTION("""COMPUTED_VALUE"""),"Undead")</f>
        <v>Undead</v>
      </c>
      <c r="D69" s="101">
        <f>IFERROR(__xludf.DUMMYFUNCTION("""COMPUTED_VALUE"""),57.0)</f>
        <v>57</v>
      </c>
      <c r="E69" s="101">
        <f>IFERROR(__xludf.DUMMYFUNCTION("""COMPUTED_VALUE"""),26.0)</f>
        <v>26</v>
      </c>
      <c r="F69" s="101" t="str">
        <f>IFERROR(__xludf.DUMMYFUNCTION("""COMPUTED_VALUE"""),"Medicinal Herb")</f>
        <v>Medicinal Herb</v>
      </c>
      <c r="G69" s="101" t="str">
        <f>IFERROR(__xludf.DUMMYFUNCTION("""COMPUTED_VALUE"""),"Strength Ring")</f>
        <v>Strength Ring</v>
      </c>
      <c r="H69" s="101"/>
    </row>
    <row r="70">
      <c r="A70" s="92"/>
      <c r="B70" s="93" t="str">
        <f>IFERROR(__xludf.DUMMYFUNCTION("""COMPUTED_VALUE"""),"Splatypunk")</f>
        <v>Splatypunk</v>
      </c>
      <c r="C70" s="100" t="str">
        <f>IFERROR(__xludf.DUMMYFUNCTION("""COMPUTED_VALUE"""),"Beast")</f>
        <v>Beast</v>
      </c>
      <c r="D70" s="100">
        <f>IFERROR(__xludf.DUMMYFUNCTION("""COMPUTED_VALUE"""),80.0)</f>
        <v>80</v>
      </c>
      <c r="E70" s="100">
        <f>IFERROR(__xludf.DUMMYFUNCTION("""COMPUTED_VALUE"""),29.0)</f>
        <v>29</v>
      </c>
      <c r="F70" s="100" t="str">
        <f>IFERROR(__xludf.DUMMYFUNCTION("""COMPUTED_VALUE"""),"Fine Fur")</f>
        <v>Fine Fur</v>
      </c>
      <c r="G70" s="100" t="str">
        <f>IFERROR(__xludf.DUMMYFUNCTION("""COMPUTED_VALUE"""),"Fur Hood")</f>
        <v>Fur Hood</v>
      </c>
      <c r="H70" s="100"/>
    </row>
    <row r="71">
      <c r="A71" s="95"/>
      <c r="B71" s="96" t="str">
        <f>IFERROR(__xludf.DUMMYFUNCTION("""COMPUTED_VALUE"""),"Weartiger")</f>
        <v>Weartiger</v>
      </c>
      <c r="C71" s="101" t="str">
        <f>IFERROR(__xludf.DUMMYFUNCTION("""COMPUTED_VALUE"""),"Humanoid")</f>
        <v>Humanoid</v>
      </c>
      <c r="D71" s="101">
        <f>IFERROR(__xludf.DUMMYFUNCTION("""COMPUTED_VALUE"""),85.0)</f>
        <v>85</v>
      </c>
      <c r="E71" s="101">
        <f>IFERROR(__xludf.DUMMYFUNCTION("""COMPUTED_VALUE"""),39.0)</f>
        <v>39</v>
      </c>
      <c r="F71" s="101" t="str">
        <f>IFERROR(__xludf.DUMMYFUNCTION("""COMPUTED_VALUE"""),"Kitty Litter")</f>
        <v>Kitty Litter</v>
      </c>
      <c r="G71" s="101" t="str">
        <f>IFERROR(__xludf.DUMMYFUNCTION("""COMPUTED_VALUE"""),"Cat Hat")</f>
        <v>Cat Hat</v>
      </c>
      <c r="H71" s="101"/>
    </row>
    <row r="72">
      <c r="A72" s="92"/>
      <c r="B72" s="93" t="str">
        <f>IFERROR(__xludf.DUMMYFUNCTION("""COMPUTED_VALUE"""),"Shell Slime")</f>
        <v>Shell Slime</v>
      </c>
      <c r="C72" s="100" t="str">
        <f>IFERROR(__xludf.DUMMYFUNCTION("""COMPUTED_VALUE"""),"Slime")</f>
        <v>Slime</v>
      </c>
      <c r="D72" s="100">
        <f>IFERROR(__xludf.DUMMYFUNCTION("""COMPUTED_VALUE"""),78.0)</f>
        <v>78</v>
      </c>
      <c r="E72" s="100">
        <f>IFERROR(__xludf.DUMMYFUNCTION("""COMPUTED_VALUE"""),29.0)</f>
        <v>29</v>
      </c>
      <c r="F72" s="100" t="str">
        <f>IFERROR(__xludf.DUMMYFUNCTION("""COMPUTED_VALUE"""),"Sun-Bleached Seashell")</f>
        <v>Sun-Bleached Seashell</v>
      </c>
      <c r="G72" s="100" t="str">
        <f>IFERROR(__xludf.DUMMYFUNCTION("""COMPUTED_VALUE"""),"Pale Pearl")</f>
        <v>Pale Pearl</v>
      </c>
      <c r="H72" s="100" t="str">
        <f>IFERROR(__xludf.DUMMYFUNCTION("""COMPUTED_VALUE"""),"Grotta della Fonte")</f>
        <v>Grotta della Fonte</v>
      </c>
    </row>
    <row r="73">
      <c r="A73" s="95"/>
      <c r="B73" s="96" t="str">
        <f>IFERROR(__xludf.DUMMYFUNCTION("""COMPUTED_VALUE"""),"Toxic Toad")</f>
        <v>Toxic Toad</v>
      </c>
      <c r="C73" s="101" t="str">
        <f>IFERROR(__xludf.DUMMYFUNCTION("""COMPUTED_VALUE"""),"Nature")</f>
        <v>Nature</v>
      </c>
      <c r="D73" s="101">
        <f>IFERROR(__xludf.DUMMYFUNCTION("""COMPUTED_VALUE"""),88.0)</f>
        <v>88</v>
      </c>
      <c r="E73" s="101">
        <f>IFERROR(__xludf.DUMMYFUNCTION("""COMPUTED_VALUE"""),35.0)</f>
        <v>35</v>
      </c>
      <c r="F73" s="101" t="str">
        <f>IFERROR(__xludf.DUMMYFUNCTION("""COMPUTED_VALUE"""),"Toad Oil")</f>
        <v>Toad Oil</v>
      </c>
      <c r="G73" s="101" t="str">
        <f>IFERROR(__xludf.DUMMYFUNCTION("""COMPUTED_VALUE"""),"Strong Antidote")</f>
        <v>Strong Antidote</v>
      </c>
      <c r="H73" s="101" t="str">
        <f>IFERROR(__xludf.DUMMYFUNCTION("""COMPUTED_VALUE"""),"Grotta della Fonte")</f>
        <v>Grotta della Fonte</v>
      </c>
    </row>
    <row r="74">
      <c r="A74" s="92"/>
      <c r="B74" s="93" t="str">
        <f>IFERROR(__xludf.DUMMYFUNCTION("""COMPUTED_VALUE"""),"Succubat")</f>
        <v>Succubat</v>
      </c>
      <c r="C74" s="100" t="str">
        <f>IFERROR(__xludf.DUMMYFUNCTION("""COMPUTED_VALUE"""),"Bird")</f>
        <v>Bird</v>
      </c>
      <c r="D74" s="100">
        <f>IFERROR(__xludf.DUMMYFUNCTION("""COMPUTED_VALUE"""),74.0)</f>
        <v>74</v>
      </c>
      <c r="E74" s="100">
        <f>IFERROR(__xludf.DUMMYFUNCTION("""COMPUTED_VALUE"""),28.0)</f>
        <v>28</v>
      </c>
      <c r="F74" s="100" t="str">
        <f>IFERROR(__xludf.DUMMYFUNCTION("""COMPUTED_VALUE"""),"Wing of Bat")</f>
        <v>Wing of Bat</v>
      </c>
      <c r="G74" s="100" t="str">
        <f>IFERROR(__xludf.DUMMYFUNCTION("""COMPUTED_VALUE"""),"Purple Eye")</f>
        <v>Purple Eye</v>
      </c>
      <c r="H74" s="100" t="str">
        <f>IFERROR(__xludf.DUMMYFUNCTION("""COMPUTED_VALUE"""),"Laguna di Gondolia, Grotta della Fonte")</f>
        <v>Laguna di Gondolia, Grotta della Fonte</v>
      </c>
    </row>
    <row r="75">
      <c r="A75" s="95"/>
      <c r="B75" s="96" t="str">
        <f>IFERROR(__xludf.DUMMYFUNCTION("""COMPUTED_VALUE"""),"Gnawchid")</f>
        <v>Gnawchid</v>
      </c>
      <c r="C75" s="101" t="str">
        <f>IFERROR(__xludf.DUMMYFUNCTION("""COMPUTED_VALUE"""),"Nature")</f>
        <v>Nature</v>
      </c>
      <c r="D75" s="101">
        <f>IFERROR(__xludf.DUMMYFUNCTION("""COMPUTED_VALUE"""),85.0)</f>
        <v>85</v>
      </c>
      <c r="E75" s="101">
        <f>IFERROR(__xludf.DUMMYFUNCTION("""COMPUTED_VALUE"""),42.0)</f>
        <v>42</v>
      </c>
      <c r="F75" s="101" t="str">
        <f>IFERROR(__xludf.DUMMYFUNCTION("""COMPUTED_VALUE"""),"Faerie Fluff")</f>
        <v>Faerie Fluff</v>
      </c>
      <c r="G75" s="101" t="str">
        <f>IFERROR(__xludf.DUMMYFUNCTION("""COMPUTED_VALUE"""),"Pretty Betsy")</f>
        <v>Pretty Betsy</v>
      </c>
      <c r="H75" s="101" t="str">
        <f>IFERROR(__xludf.DUMMYFUNCTION("""COMPUTED_VALUE"""),"Laguna di Gondolia")</f>
        <v>Laguna di Gondolia</v>
      </c>
    </row>
    <row r="76">
      <c r="A76" s="92"/>
      <c r="B76" s="93" t="str">
        <f>IFERROR(__xludf.DUMMYFUNCTION("""COMPUTED_VALUE"""),"Man O' War")</f>
        <v>Man O' War</v>
      </c>
      <c r="C76" s="100" t="str">
        <f>IFERROR(__xludf.DUMMYFUNCTION("""COMPUTED_VALUE"""),"Nature")</f>
        <v>Nature</v>
      </c>
      <c r="D76" s="100">
        <f>IFERROR(__xludf.DUMMYFUNCTION("""COMPUTED_VALUE"""),66.0)</f>
        <v>66</v>
      </c>
      <c r="E76" s="100">
        <f>IFERROR(__xludf.DUMMYFUNCTION("""COMPUTED_VALUE"""),26.0)</f>
        <v>26</v>
      </c>
      <c r="F76" s="100" t="str">
        <f>IFERROR(__xludf.DUMMYFUNCTION("""COMPUTED_VALUE"""),"Moonwort Bulb")</f>
        <v>Moonwort Bulb</v>
      </c>
      <c r="G76" s="100" t="str">
        <f>IFERROR(__xludf.DUMMYFUNCTION("""COMPUTED_VALUE"""),"Softwort")</f>
        <v>Softwort</v>
      </c>
      <c r="H76" s="100" t="str">
        <f>IFERROR(__xludf.DUMMYFUNCTION("""COMPUTED_VALUE"""),"Grotta della Fonte")</f>
        <v>Grotta della Fonte</v>
      </c>
    </row>
    <row r="77">
      <c r="A77" s="95"/>
      <c r="B77" s="96" t="str">
        <f>IFERROR(__xludf.DUMMYFUNCTION("""COMPUTED_VALUE"""),"Morphean Mushroom")</f>
        <v>Morphean Mushroom</v>
      </c>
      <c r="C77" s="101" t="str">
        <f>IFERROR(__xludf.DUMMYFUNCTION("""COMPUTED_VALUE"""),"Nature")</f>
        <v>Nature</v>
      </c>
      <c r="D77" s="101">
        <f>IFERROR(__xludf.DUMMYFUNCTION("""COMPUTED_VALUE"""),77.0)</f>
        <v>77</v>
      </c>
      <c r="E77" s="101">
        <f>IFERROR(__xludf.DUMMYFUNCTION("""COMPUTED_VALUE"""),35.0)</f>
        <v>35</v>
      </c>
      <c r="F77" s="101" t="str">
        <f>IFERROR(__xludf.DUMMYFUNCTION("""COMPUTED_VALUE"""),"Wakerobin")</f>
        <v>Wakerobin</v>
      </c>
      <c r="G77" s="101" t="str">
        <f>IFERROR(__xludf.DUMMYFUNCTION("""COMPUTED_VALUE"""),"Belle Cap")</f>
        <v>Belle Cap</v>
      </c>
      <c r="H77" s="101" t="str">
        <f>IFERROR(__xludf.DUMMYFUNCTION("""COMPUTED_VALUE"""),"Grotta della Fonte")</f>
        <v>Grotta della Fonte</v>
      </c>
    </row>
    <row r="78">
      <c r="A78" s="92"/>
      <c r="B78" s="93" t="str">
        <f>IFERROR(__xludf.DUMMYFUNCTION("""COMPUTED_VALUE"""),"Wizened Wizard")</f>
        <v>Wizened Wizard</v>
      </c>
      <c r="C78" s="100" t="str">
        <f>IFERROR(__xludf.DUMMYFUNCTION("""COMPUTED_VALUE"""),"Humanoid")</f>
        <v>Humanoid</v>
      </c>
      <c r="D78" s="100">
        <f>IFERROR(__xludf.DUMMYFUNCTION("""COMPUTED_VALUE"""),79.0)</f>
        <v>79</v>
      </c>
      <c r="E78" s="100">
        <f>IFERROR(__xludf.DUMMYFUNCTION("""COMPUTED_VALUE"""),29.0)</f>
        <v>29</v>
      </c>
      <c r="F78" s="100" t="str">
        <f>IFERROR(__xludf.DUMMYFUNCTION("""COMPUTED_VALUE"""),"Single Phial")</f>
        <v>Single Phial</v>
      </c>
      <c r="G78" s="100" t="str">
        <f>IFERROR(__xludf.DUMMYFUNCTION("""COMPUTED_VALUE"""),"Silk Robe")</f>
        <v>Silk Robe</v>
      </c>
      <c r="H78" s="100"/>
    </row>
    <row r="79">
      <c r="A79" s="95"/>
      <c r="B79" s="96" t="str">
        <f>IFERROR(__xludf.DUMMYFUNCTION("""COMPUTED_VALUE"""),"Coralossus")</f>
        <v>Coralossus</v>
      </c>
      <c r="C79" s="101" t="str">
        <f>IFERROR(__xludf.DUMMYFUNCTION("""COMPUTED_VALUE"""),"Material")</f>
        <v>Material</v>
      </c>
      <c r="D79" s="101">
        <f>IFERROR(__xludf.DUMMYFUNCTION("""COMPUTED_VALUE"""),232.0)</f>
        <v>232</v>
      </c>
      <c r="E79" s="101">
        <f>IFERROR(__xludf.DUMMYFUNCTION("""COMPUTED_VALUE"""),55.0)</f>
        <v>55</v>
      </c>
      <c r="F79" s="101" t="str">
        <f>IFERROR(__xludf.DUMMYFUNCTION("""COMPUTED_VALUE"""),"Crimson Coral")</f>
        <v>Crimson Coral</v>
      </c>
      <c r="G79" s="101" t="str">
        <f>IFERROR(__xludf.DUMMYFUNCTION("""COMPUTED_VALUE"""),"Coral Hairpin")</f>
        <v>Coral Hairpin</v>
      </c>
      <c r="H79" s="101" t="str">
        <f>IFERROR(__xludf.DUMMYFUNCTION("""COMPUTED_VALUE"""),"Grotta della Fonte")</f>
        <v>Grotta della Fonte</v>
      </c>
    </row>
    <row r="80">
      <c r="A80" s="92"/>
      <c r="B80" s="93" t="str">
        <f>IFERROR(__xludf.DUMMYFUNCTION("""COMPUTED_VALUE"""),"Jasper")</f>
        <v>Jasper</v>
      </c>
      <c r="C80" s="100" t="str">
        <f>IFERROR(__xludf.DUMMYFUNCTION("""COMPUTED_VALUE"""),"???")</f>
        <v>???</v>
      </c>
      <c r="D80" s="100">
        <f>IFERROR(__xludf.DUMMYFUNCTION("""COMPUTED_VALUE"""),2000.0)</f>
        <v>2000</v>
      </c>
      <c r="E80" s="100">
        <f>IFERROR(__xludf.DUMMYFUNCTION("""COMPUTED_VALUE"""),2000.0)</f>
        <v>2000</v>
      </c>
      <c r="F80" s="100" t="str">
        <f>IFERROR(__xludf.DUMMYFUNCTION("""COMPUTED_VALUE"""),"--")</f>
        <v>--</v>
      </c>
      <c r="G80" s="100" t="str">
        <f>IFERROR(__xludf.DUMMYFUNCTION("""COMPUTED_VALUE"""),"--")</f>
        <v>--</v>
      </c>
      <c r="H80" s="100" t="str">
        <f>IFERROR(__xludf.DUMMYFUNCTION("""COMPUTED_VALUE"""),"--")</f>
        <v>--</v>
      </c>
    </row>
    <row r="81">
      <c r="A81" s="95"/>
      <c r="B81" s="96" t="str">
        <f>IFERROR(__xludf.DUMMYFUNCTION("""COMPUTED_VALUE"""),"Merman")</f>
        <v>Merman</v>
      </c>
      <c r="C81" s="101" t="str">
        <f>IFERROR(__xludf.DUMMYFUNCTION("""COMPUTED_VALUE"""),"Nature")</f>
        <v>Nature</v>
      </c>
      <c r="D81" s="101">
        <f>IFERROR(__xludf.DUMMYFUNCTION("""COMPUTED_VALUE"""),132.0)</f>
        <v>132</v>
      </c>
      <c r="E81" s="101">
        <f>IFERROR(__xludf.DUMMYFUNCTION("""COMPUTED_VALUE"""),40.0)</f>
        <v>40</v>
      </c>
      <c r="F81" s="101" t="str">
        <f>IFERROR(__xludf.DUMMYFUNCTION("""COMPUTED_VALUE"""),"Pitch Pearl")</f>
        <v>Pitch Pearl</v>
      </c>
      <c r="G81" s="101" t="str">
        <f>IFERROR(__xludf.DUMMYFUNCTION("""COMPUTED_VALUE"""),"Tortoise Shell")</f>
        <v>Tortoise Shell</v>
      </c>
      <c r="H81" s="101"/>
    </row>
    <row r="82">
      <c r="A82" s="92"/>
      <c r="B82" s="93" t="str">
        <f>IFERROR(__xludf.DUMMYFUNCTION("""COMPUTED_VALUE"""),"Drake Slime")</f>
        <v>Drake Slime</v>
      </c>
      <c r="C82" s="100" t="str">
        <f>IFERROR(__xludf.DUMMYFUNCTION("""COMPUTED_VALUE"""),"Slime")</f>
        <v>Slime</v>
      </c>
      <c r="D82" s="100">
        <f>IFERROR(__xludf.DUMMYFUNCTION("""COMPUTED_VALUE"""),75.0)</f>
        <v>75</v>
      </c>
      <c r="E82" s="100">
        <f>IFERROR(__xludf.DUMMYFUNCTION("""COMPUTED_VALUE"""),26.0)</f>
        <v>26</v>
      </c>
      <c r="F82" s="100" t="str">
        <f>IFERROR(__xludf.DUMMYFUNCTION("""COMPUTED_VALUE"""),"Small Scale")</f>
        <v>Small Scale</v>
      </c>
      <c r="G82" s="100" t="str">
        <f>IFERROR(__xludf.DUMMYFUNCTION("""COMPUTED_VALUE"""),"Dragon Hide")</f>
        <v>Dragon Hide</v>
      </c>
      <c r="H82" s="100"/>
    </row>
    <row r="83">
      <c r="A83" s="95"/>
      <c r="B83" s="96" t="str">
        <f>IFERROR(__xludf.DUMMYFUNCTION("""COMPUTED_VALUE"""),"Miasma")</f>
        <v>Miasma</v>
      </c>
      <c r="C83" s="101" t="str">
        <f>IFERROR(__xludf.DUMMYFUNCTION("""COMPUTED_VALUE"""),"Elemental")</f>
        <v>Elemental</v>
      </c>
      <c r="D83" s="101">
        <f>IFERROR(__xludf.DUMMYFUNCTION("""COMPUTED_VALUE"""),157.0)</f>
        <v>157</v>
      </c>
      <c r="E83" s="101">
        <f>IFERROR(__xludf.DUMMYFUNCTION("""COMPUTED_VALUE"""),32.0)</f>
        <v>32</v>
      </c>
      <c r="F83" s="101" t="str">
        <f>IFERROR(__xludf.DUMMYFUNCTION("""COMPUTED_VALUE"""),"Slipweed")</f>
        <v>Slipweed</v>
      </c>
      <c r="G83" s="101" t="str">
        <f>IFERROR(__xludf.DUMMYFUNCTION("""COMPUTED_VALUE"""),"Cloak of Evasion")</f>
        <v>Cloak of Evasion</v>
      </c>
      <c r="H83" s="101" t="str">
        <f>IFERROR(__xludf.DUMMYFUNCTION("""COMPUTED_VALUE"""),"The Arborian Highlands")</f>
        <v>The Arborian Highlands</v>
      </c>
    </row>
    <row r="84">
      <c r="A84" s="92"/>
      <c r="B84" s="93" t="str">
        <f>IFERROR(__xludf.DUMMYFUNCTION("""COMPUTED_VALUE"""),"Squid Kid")</f>
        <v>Squid Kid</v>
      </c>
      <c r="C84" s="100" t="str">
        <f>IFERROR(__xludf.DUMMYFUNCTION("""COMPUTED_VALUE"""),"Nature")</f>
        <v>Nature</v>
      </c>
      <c r="D84" s="100">
        <f>IFERROR(__xludf.DUMMYFUNCTION("""COMPUTED_VALUE"""),70.0)</f>
        <v>70</v>
      </c>
      <c r="E84" s="100">
        <f>IFERROR(__xludf.DUMMYFUNCTION("""COMPUTED_VALUE"""),26.0)</f>
        <v>26</v>
      </c>
      <c r="F84" s="100" t="str">
        <f>IFERROR(__xludf.DUMMYFUNCTION("""COMPUTED_VALUE"""),"Pale Pearl")</f>
        <v>Pale Pearl</v>
      </c>
      <c r="G84" s="100" t="str">
        <f>IFERROR(__xludf.DUMMYFUNCTION("""COMPUTED_VALUE"""),"Dancer's Costume")</f>
        <v>Dancer's Costume</v>
      </c>
      <c r="H84" s="100"/>
    </row>
    <row r="85">
      <c r="A85" s="95"/>
      <c r="B85" s="96" t="str">
        <f>IFERROR(__xludf.DUMMYFUNCTION("""COMPUTED_VALUE"""),"Cyclown")</f>
        <v>Cyclown</v>
      </c>
      <c r="C85" s="101" t="str">
        <f>IFERROR(__xludf.DUMMYFUNCTION("""COMPUTED_VALUE"""),"Elemental")</f>
        <v>Elemental</v>
      </c>
      <c r="D85" s="101">
        <f>IFERROR(__xludf.DUMMYFUNCTION("""COMPUTED_VALUE"""),80.0)</f>
        <v>80</v>
      </c>
      <c r="E85" s="101">
        <f>IFERROR(__xludf.DUMMYFUNCTION("""COMPUTED_VALUE"""),28.0)</f>
        <v>28</v>
      </c>
      <c r="F85" s="101" t="str">
        <f>IFERROR(__xludf.DUMMYFUNCTION("""COMPUTED_VALUE"""),"Glass Frit")</f>
        <v>Glass Frit</v>
      </c>
      <c r="G85" s="101" t="str">
        <f>IFERROR(__xludf.DUMMYFUNCTION("""COMPUTED_VALUE"""),"Agility Ring")</f>
        <v>Agility Ring</v>
      </c>
      <c r="H85" s="101"/>
    </row>
    <row r="86">
      <c r="A86" s="98"/>
      <c r="B86" s="93" t="str">
        <f>IFERROR(__xludf.DUMMYFUNCTION("""COMPUTED_VALUE"""),"Brollyminator")</f>
        <v>Brollyminator</v>
      </c>
      <c r="C86" s="100" t="str">
        <f>IFERROR(__xludf.DUMMYFUNCTION("""COMPUTED_VALUE"""),"Material")</f>
        <v>Material</v>
      </c>
      <c r="D86" s="100">
        <f>IFERROR(__xludf.DUMMYFUNCTION("""COMPUTED_VALUE"""),96.0)</f>
        <v>96</v>
      </c>
      <c r="E86" s="100">
        <f>IFERROR(__xludf.DUMMYFUNCTION("""COMPUTED_VALUE"""),28.0)</f>
        <v>28</v>
      </c>
      <c r="F86" s="100" t="str">
        <f>IFERROR(__xludf.DUMMYFUNCTION("""COMPUTED_VALUE"""),"Waveweed")</f>
        <v>Waveweed</v>
      </c>
      <c r="G86" s="100" t="str">
        <f>IFERROR(__xludf.DUMMYFUNCTION("""COMPUTED_VALUE"""),"Jolly Brolly")</f>
        <v>Jolly Brolly</v>
      </c>
      <c r="H86" s="100"/>
    </row>
    <row r="87">
      <c r="A87" s="99" t="str">
        <f>IFERROR(__xludf.DUMMYFUNCTION("""COMPUTED_VALUE"""),"P5")</f>
        <v>P5</v>
      </c>
      <c r="B87" s="96" t="str">
        <f>IFERROR(__xludf.DUMMYFUNCTION("""COMPUTED_VALUE"""),"Grublin")</f>
        <v>Grublin</v>
      </c>
      <c r="C87" s="101" t="str">
        <f>IFERROR(__xludf.DUMMYFUNCTION("""COMPUTED_VALUE"""),"Humanoid")</f>
        <v>Humanoid</v>
      </c>
      <c r="D87" s="101">
        <f>IFERROR(__xludf.DUMMYFUNCTION("""COMPUTED_VALUE"""),81.0)</f>
        <v>81</v>
      </c>
      <c r="E87" s="101">
        <f>IFERROR(__xludf.DUMMYFUNCTION("""COMPUTED_VALUE"""),40.0)</f>
        <v>40</v>
      </c>
      <c r="F87" s="101" t="str">
        <f>IFERROR(__xludf.DUMMYFUNCTION("""COMPUTED_VALUE"""),"Bandit Blade")</f>
        <v>Bandit Blade</v>
      </c>
      <c r="G87" s="101" t="str">
        <f>IFERROR(__xludf.DUMMYFUNCTION("""COMPUTED_VALUE"""),"Steel Shield")</f>
        <v>Steel Shield</v>
      </c>
      <c r="H87" s="101"/>
    </row>
    <row r="88">
      <c r="A88" s="92"/>
      <c r="B88" s="93" t="str">
        <f>IFERROR(__xludf.DUMMYFUNCTION("""COMPUTED_VALUE"""),"Robbin' 'Ood")</f>
        <v>Robbin' 'Ood</v>
      </c>
      <c r="C88" s="100" t="str">
        <f>IFERROR(__xludf.DUMMYFUNCTION("""COMPUTED_VALUE"""),"Humanoid")</f>
        <v>Humanoid</v>
      </c>
      <c r="D88" s="100">
        <f>IFERROR(__xludf.DUMMYFUNCTION("""COMPUTED_VALUE"""),510.0)</f>
        <v>510</v>
      </c>
      <c r="E88" s="100">
        <f>IFERROR(__xludf.DUMMYFUNCTION("""COMPUTED_VALUE"""),250.0)</f>
        <v>250</v>
      </c>
      <c r="F88" s="100" t="str">
        <f>IFERROR(__xludf.DUMMYFUNCTION("""COMPUTED_VALUE"""),"Tough Guy Tattoo")</f>
        <v>Tough Guy Tattoo</v>
      </c>
      <c r="G88" s="100" t="str">
        <f>IFERROR(__xludf.DUMMYFUNCTION("""COMPUTED_VALUE"""),"--")</f>
        <v>--</v>
      </c>
      <c r="H88" s="100" t="str">
        <f>IFERROR(__xludf.DUMMYFUNCTION("""COMPUTED_VALUE"""),"--")</f>
        <v>--</v>
      </c>
    </row>
    <row r="89">
      <c r="A89" s="95"/>
      <c r="B89" s="96" t="str">
        <f>IFERROR(__xludf.DUMMYFUNCTION("""COMPUTED_VALUE"""),"Merry Man")</f>
        <v>Merry Man</v>
      </c>
      <c r="C89" s="101" t="str">
        <f>IFERROR(__xludf.DUMMYFUNCTION("""COMPUTED_VALUE"""),"Material")</f>
        <v>Material</v>
      </c>
      <c r="D89" s="101">
        <f>IFERROR(__xludf.DUMMYFUNCTION("""COMPUTED_VALUE"""),105.0)</f>
        <v>105</v>
      </c>
      <c r="E89" s="101">
        <f>IFERROR(__xludf.DUMMYFUNCTION("""COMPUTED_VALUE"""),44.0)</f>
        <v>44</v>
      </c>
      <c r="F89" s="101" t="str">
        <f>IFERROR(__xludf.DUMMYFUNCTION("""COMPUTED_VALUE"""),"--")</f>
        <v>--</v>
      </c>
      <c r="G89" s="101" t="str">
        <f>IFERROR(__xludf.DUMMYFUNCTION("""COMPUTED_VALUE"""),"--")</f>
        <v>--</v>
      </c>
      <c r="H89" s="101" t="str">
        <f>IFERROR(__xludf.DUMMYFUNCTION("""COMPUTED_VALUE"""),"--")</f>
        <v>--</v>
      </c>
    </row>
    <row r="90">
      <c r="A90" s="92"/>
      <c r="B90" s="93" t="str">
        <f>IFERROR(__xludf.DUMMYFUNCTION("""COMPUTED_VALUE"""),"Bite Bulb")</f>
        <v>Bite Bulb</v>
      </c>
      <c r="C90" s="100" t="str">
        <f>IFERROR(__xludf.DUMMYFUNCTION("""COMPUTED_VALUE"""),"Slime")</f>
        <v>Slime</v>
      </c>
      <c r="D90" s="100">
        <f>IFERROR(__xludf.DUMMYFUNCTION("""COMPUTED_VALUE"""),105.0)</f>
        <v>105</v>
      </c>
      <c r="E90" s="100">
        <f>IFERROR(__xludf.DUMMYFUNCTION("""COMPUTED_VALUE"""),33.0)</f>
        <v>33</v>
      </c>
      <c r="F90" s="100" t="str">
        <f>IFERROR(__xludf.DUMMYFUNCTION("""COMPUTED_VALUE"""),"Faerie Fluff")</f>
        <v>Faerie Fluff</v>
      </c>
      <c r="G90" s="100" t="str">
        <f>IFERROR(__xludf.DUMMYFUNCTION("""COMPUTED_VALUE"""),"Silkblossom")</f>
        <v>Silkblossom</v>
      </c>
      <c r="H90" s="100" t="str">
        <f>IFERROR(__xludf.DUMMYFUNCTION("""COMPUTED_VALUE"""),"Laguna di Gondolia")</f>
        <v>Laguna di Gondolia</v>
      </c>
    </row>
    <row r="91">
      <c r="A91" s="95"/>
      <c r="B91" s="96" t="str">
        <f>IFERROR(__xludf.DUMMYFUNCTION("""COMPUTED_VALUE"""),"Hocus Chimaera")</f>
        <v>Hocus Chimaera</v>
      </c>
      <c r="C91" s="101" t="str">
        <f>IFERROR(__xludf.DUMMYFUNCTION("""COMPUTED_VALUE"""),"Bird")</f>
        <v>Bird</v>
      </c>
      <c r="D91" s="101">
        <f>IFERROR(__xludf.DUMMYFUNCTION("""COMPUTED_VALUE"""),80.0)</f>
        <v>80</v>
      </c>
      <c r="E91" s="101">
        <f>IFERROR(__xludf.DUMMYFUNCTION("""COMPUTED_VALUE"""),28.0)</f>
        <v>28</v>
      </c>
      <c r="F91" s="101" t="str">
        <f>IFERROR(__xludf.DUMMYFUNCTION("""COMPUTED_VALUE"""),"Chimaera Wing")</f>
        <v>Chimaera Wing</v>
      </c>
      <c r="G91" s="101" t="str">
        <f>IFERROR(__xludf.DUMMYFUNCTION("""COMPUTED_VALUE"""),"Prayer Ring")</f>
        <v>Prayer Ring</v>
      </c>
      <c r="H91" s="101" t="str">
        <f>IFERROR(__xludf.DUMMYFUNCTION("""COMPUTED_VALUE"""),"Laguna di Gondolia")</f>
        <v>Laguna di Gondolia</v>
      </c>
    </row>
    <row r="92">
      <c r="A92" s="92"/>
      <c r="B92" s="93" t="str">
        <f>IFERROR(__xludf.DUMMYFUNCTION("""COMPUTED_VALUE"""),"Tap Devil")</f>
        <v>Tap Devil</v>
      </c>
      <c r="C92" s="100" t="str">
        <f>IFERROR(__xludf.DUMMYFUNCTION("""COMPUTED_VALUE"""),"Demon")</f>
        <v>Demon</v>
      </c>
      <c r="D92" s="100">
        <f>IFERROR(__xludf.DUMMYFUNCTION("""COMPUTED_VALUE"""),81.0)</f>
        <v>81</v>
      </c>
      <c r="E92" s="100">
        <f>IFERROR(__xludf.DUMMYFUNCTION("""COMPUTED_VALUE"""),30.0)</f>
        <v>30</v>
      </c>
      <c r="F92" s="100" t="str">
        <f>IFERROR(__xludf.DUMMYFUNCTION("""COMPUTED_VALUE"""),"Leather Cape")</f>
        <v>Leather Cape</v>
      </c>
      <c r="G92" s="100" t="str">
        <f>IFERROR(__xludf.DUMMYFUNCTION("""COMPUTED_VALUE"""),"Devil's Tail")</f>
        <v>Devil's Tail</v>
      </c>
      <c r="H92" s="100"/>
    </row>
    <row r="93">
      <c r="A93" s="95"/>
      <c r="B93" s="96" t="str">
        <f>IFERROR(__xludf.DUMMYFUNCTION("""COMPUTED_VALUE"""),"Stone Golem")</f>
        <v>Stone Golem</v>
      </c>
      <c r="C93" s="101" t="str">
        <f>IFERROR(__xludf.DUMMYFUNCTION("""COMPUTED_VALUE"""),"Material")</f>
        <v>Material</v>
      </c>
      <c r="D93" s="101">
        <f>IFERROR(__xludf.DUMMYFUNCTION("""COMPUTED_VALUE"""),201.0)</f>
        <v>201</v>
      </c>
      <c r="E93" s="101">
        <f>IFERROR(__xludf.DUMMYFUNCTION("""COMPUTED_VALUE"""),41.0)</f>
        <v>41</v>
      </c>
      <c r="F93" s="101" t="str">
        <f>IFERROR(__xludf.DUMMYFUNCTION("""COMPUTED_VALUE"""),"Flintstone")</f>
        <v>Flintstone</v>
      </c>
      <c r="G93" s="101" t="str">
        <f>IFERROR(__xludf.DUMMYFUNCTION("""COMPUTED_VALUE"""),"Mirrorstone")</f>
        <v>Mirrorstone</v>
      </c>
      <c r="H93" s="101"/>
    </row>
    <row r="94">
      <c r="A94" s="92"/>
      <c r="B94" s="93" t="str">
        <f>IFERROR(__xludf.DUMMYFUNCTION("""COMPUTED_VALUE"""),"Deadnaut")</f>
        <v>Deadnaut</v>
      </c>
      <c r="C94" s="100" t="str">
        <f>IFERROR(__xludf.DUMMYFUNCTION("""COMPUTED_VALUE"""),"Undead")</f>
        <v>Undead</v>
      </c>
      <c r="D94" s="100">
        <f>IFERROR(__xludf.DUMMYFUNCTION("""COMPUTED_VALUE"""),131.0)</f>
        <v>131</v>
      </c>
      <c r="E94" s="100">
        <f>IFERROR(__xludf.DUMMYFUNCTION("""COMPUTED_VALUE"""),42.0)</f>
        <v>42</v>
      </c>
      <c r="F94" s="100" t="str">
        <f>IFERROR(__xludf.DUMMYFUNCTION("""COMPUTED_VALUE"""),"Big Bone")</f>
        <v>Big Bone</v>
      </c>
      <c r="G94" s="100" t="str">
        <f>IFERROR(__xludf.DUMMYFUNCTION("""COMPUTED_VALUE"""),"Steel Helmet")</f>
        <v>Steel Helmet</v>
      </c>
      <c r="H94" s="100"/>
    </row>
    <row r="95">
      <c r="A95" s="95"/>
      <c r="B95" s="96" t="str">
        <f>IFERROR(__xludf.DUMMYFUNCTION("""COMPUTED_VALUE"""),"Hood")</f>
        <v>Hood</v>
      </c>
      <c r="C95" s="101" t="str">
        <f>IFERROR(__xludf.DUMMYFUNCTION("""COMPUTED_VALUE"""),"Humanoid")</f>
        <v>Humanoid</v>
      </c>
      <c r="D95" s="101">
        <f>IFERROR(__xludf.DUMMYFUNCTION("""COMPUTED_VALUE"""),135.0)</f>
        <v>135</v>
      </c>
      <c r="E95" s="101">
        <f>IFERROR(__xludf.DUMMYFUNCTION("""COMPUTED_VALUE"""),55.0)</f>
        <v>55</v>
      </c>
      <c r="F95" s="101" t="str">
        <f>IFERROR(__xludf.DUMMYFUNCTION("""COMPUTED_VALUE"""),"Boxer Shorts")</f>
        <v>Boxer Shorts</v>
      </c>
      <c r="G95" s="101" t="str">
        <f>IFERROR(__xludf.DUMMYFUNCTION("""COMPUTED_VALUE"""),"Leather Cape")</f>
        <v>Leather Cape</v>
      </c>
      <c r="H95" s="101"/>
    </row>
    <row r="96">
      <c r="A96" s="92"/>
      <c r="B96" s="93" t="str">
        <f>IFERROR(__xludf.DUMMYFUNCTION("""COMPUTED_VALUE"""),"Jargon")</f>
        <v>Jargon</v>
      </c>
      <c r="C96" s="100" t="str">
        <f>IFERROR(__xludf.DUMMYFUNCTION("""COMPUTED_VALUE"""),"Dragon")</f>
        <v>Dragon</v>
      </c>
      <c r="D96" s="100">
        <f>IFERROR(__xludf.DUMMYFUNCTION("""COMPUTED_VALUE"""),124.0)</f>
        <v>124</v>
      </c>
      <c r="E96" s="100">
        <f>IFERROR(__xludf.DUMMYFUNCTION("""COMPUTED_VALUE"""),47.0)</f>
        <v>47</v>
      </c>
      <c r="F96" s="100" t="str">
        <f>IFERROR(__xludf.DUMMYFUNCTION("""COMPUTED_VALUE"""),"Yellow Eye")</f>
        <v>Yellow Eye</v>
      </c>
      <c r="G96" s="100" t="str">
        <f>IFERROR(__xludf.DUMMYFUNCTION("""COMPUTED_VALUE"""),"Dragon Hide")</f>
        <v>Dragon Hide</v>
      </c>
      <c r="H96" s="100"/>
    </row>
    <row r="97">
      <c r="A97" s="95"/>
      <c r="B97" s="96" t="str">
        <f>IFERROR(__xludf.DUMMYFUNCTION("""COMPUTED_VALUE"""),"Drackolyte")</f>
        <v>Drackolyte</v>
      </c>
      <c r="C97" s="101" t="str">
        <f>IFERROR(__xludf.DUMMYFUNCTION("""COMPUTED_VALUE"""),"Bird")</f>
        <v>Bird</v>
      </c>
      <c r="D97" s="101">
        <f>IFERROR(__xludf.DUMMYFUNCTION("""COMPUTED_VALUE"""),68.0)</f>
        <v>68</v>
      </c>
      <c r="E97" s="101">
        <f>IFERROR(__xludf.DUMMYFUNCTION("""COMPUTED_VALUE"""),31.0)</f>
        <v>31</v>
      </c>
      <c r="F97" s="101" t="str">
        <f>IFERROR(__xludf.DUMMYFUNCTION("""COMPUTED_VALUE"""),"Red Eye")</f>
        <v>Red Eye</v>
      </c>
      <c r="G97" s="101" t="str">
        <f>IFERROR(__xludf.DUMMYFUNCTION("""COMPUTED_VALUE"""),"Magic Water")</f>
        <v>Magic Water</v>
      </c>
      <c r="H97" s="101"/>
    </row>
    <row r="98">
      <c r="A98" s="92"/>
      <c r="B98" s="93" t="str">
        <f>IFERROR(__xludf.DUMMYFUNCTION("""COMPUTED_VALUE"""),"Rottontail")</f>
        <v>Rottontail</v>
      </c>
      <c r="C98" s="100" t="str">
        <f>IFERROR(__xludf.DUMMYFUNCTION("""COMPUTED_VALUE"""),"Beast")</f>
        <v>Beast</v>
      </c>
      <c r="D98" s="100">
        <f>IFERROR(__xludf.DUMMYFUNCTION("""COMPUTED_VALUE"""),113.0)</f>
        <v>113</v>
      </c>
      <c r="E98" s="100">
        <f>IFERROR(__xludf.DUMMYFUNCTION("""COMPUTED_VALUE"""),34.0)</f>
        <v>34</v>
      </c>
      <c r="F98" s="100" t="str">
        <f>IFERROR(__xludf.DUMMYFUNCTION("""COMPUTED_VALUE"""),"Silkblossom")</f>
        <v>Silkblossom</v>
      </c>
      <c r="G98" s="100" t="str">
        <f>IFERROR(__xludf.DUMMYFUNCTION("""COMPUTED_VALUE"""),"Malleable Mask")</f>
        <v>Malleable Mask</v>
      </c>
      <c r="H98" s="100"/>
    </row>
    <row r="99">
      <c r="A99" s="95"/>
      <c r="B99" s="96" t="str">
        <f>IFERROR(__xludf.DUMMYFUNCTION("""COMPUTED_VALUE"""),"Fandangow")</f>
        <v>Fandangow</v>
      </c>
      <c r="C99" s="101" t="str">
        <f>IFERROR(__xludf.DUMMYFUNCTION("""COMPUTED_VALUE"""),"Nature")</f>
        <v>Nature</v>
      </c>
      <c r="D99" s="101">
        <f>IFERROR(__xludf.DUMMYFUNCTION("""COMPUTED_VALUE"""),108.0)</f>
        <v>108</v>
      </c>
      <c r="E99" s="101">
        <f>IFERROR(__xludf.DUMMYFUNCTION("""COMPUTED_VALUE"""),39.0)</f>
        <v>39</v>
      </c>
      <c r="F99" s="101" t="str">
        <f>IFERROR(__xludf.DUMMYFUNCTION("""COMPUTED_VALUE"""),"Faerie Fluff")</f>
        <v>Faerie Fluff</v>
      </c>
      <c r="G99" s="101" t="str">
        <f>IFERROR(__xludf.DUMMYFUNCTION("""COMPUTED_VALUE"""),"Poison Needle")</f>
        <v>Poison Needle</v>
      </c>
      <c r="H99" s="101"/>
    </row>
    <row r="100">
      <c r="A100" s="92"/>
      <c r="B100" s="93" t="str">
        <f>IFERROR(__xludf.DUMMYFUNCTION("""COMPUTED_VALUE"""),"Horknight")</f>
        <v>Horknight</v>
      </c>
      <c r="C100" s="100" t="str">
        <f>IFERROR(__xludf.DUMMYFUNCTION("""COMPUTED_VALUE"""),"Humanoid")</f>
        <v>Humanoid</v>
      </c>
      <c r="D100" s="100">
        <f>IFERROR(__xludf.DUMMYFUNCTION("""COMPUTED_VALUE"""),92.0)</f>
        <v>92</v>
      </c>
      <c r="E100" s="100">
        <f>IFERROR(__xludf.DUMMYFUNCTION("""COMPUTED_VALUE"""),31.0)</f>
        <v>31</v>
      </c>
      <c r="F100" s="100" t="str">
        <f>IFERROR(__xludf.DUMMYFUNCTION("""COMPUTED_VALUE"""),"Butterfly Wing")</f>
        <v>Butterfly Wing</v>
      </c>
      <c r="G100" s="100" t="str">
        <f>IFERROR(__xludf.DUMMYFUNCTION("""COMPUTED_VALUE"""),"Yellow Eye")</f>
        <v>Yellow Eye</v>
      </c>
      <c r="H100" s="100"/>
    </row>
    <row r="101">
      <c r="A101" s="95"/>
      <c r="B101" s="96" t="str">
        <f>IFERROR(__xludf.DUMMYFUNCTION("""COMPUTED_VALUE"""),"The Abominable Showman")</f>
        <v>The Abominable Showman</v>
      </c>
      <c r="C101" s="101" t="str">
        <f>IFERROR(__xludf.DUMMYFUNCTION("""COMPUTED_VALUE"""),"???")</f>
        <v>???</v>
      </c>
      <c r="D101" s="101">
        <f>IFERROR(__xludf.DUMMYFUNCTION("""COMPUTED_VALUE"""),12.0)</f>
        <v>12</v>
      </c>
      <c r="E101" s="101">
        <f>IFERROR(__xludf.DUMMYFUNCTION("""COMPUTED_VALUE"""),40.0)</f>
        <v>40</v>
      </c>
      <c r="F101" s="101" t="str">
        <f>IFERROR(__xludf.DUMMYFUNCTION("""COMPUTED_VALUE"""),"--")</f>
        <v>--</v>
      </c>
      <c r="G101" s="101" t="str">
        <f>IFERROR(__xludf.DUMMYFUNCTION("""COMPUTED_VALUE"""),"--")</f>
        <v>--</v>
      </c>
      <c r="H101" s="101" t="str">
        <f>IFERROR(__xludf.DUMMYFUNCTION("""COMPUTED_VALUE"""),"--")</f>
        <v>--</v>
      </c>
    </row>
    <row r="102">
      <c r="A102" s="92"/>
      <c r="B102" s="93" t="str">
        <f>IFERROR(__xludf.DUMMYFUNCTION("""COMPUTED_VALUE"""),"The Underdigger")</f>
        <v>The Underdigger</v>
      </c>
      <c r="C102" s="100" t="str">
        <f>IFERROR(__xludf.DUMMYFUNCTION("""COMPUTED_VALUE"""),"???")</f>
        <v>???</v>
      </c>
      <c r="D102" s="100">
        <f>IFERROR(__xludf.DUMMYFUNCTION("""COMPUTED_VALUE"""),180.0)</f>
        <v>180</v>
      </c>
      <c r="E102" s="100">
        <f>IFERROR(__xludf.DUMMYFUNCTION("""COMPUTED_VALUE"""),80.0)</f>
        <v>80</v>
      </c>
      <c r="F102" s="100" t="str">
        <f>IFERROR(__xludf.DUMMYFUNCTION("""COMPUTED_VALUE"""),"--")</f>
        <v>--</v>
      </c>
      <c r="G102" s="100" t="str">
        <f>IFERROR(__xludf.DUMMYFUNCTION("""COMPUTED_VALUE"""),"--")</f>
        <v>--</v>
      </c>
      <c r="H102" s="100" t="str">
        <f>IFERROR(__xludf.DUMMYFUNCTION("""COMPUTED_VALUE"""),"--")</f>
        <v>--</v>
      </c>
    </row>
    <row r="103">
      <c r="A103" s="95"/>
      <c r="B103" s="96" t="str">
        <f>IFERROR(__xludf.DUMMYFUNCTION("""COMPUTED_VALUE"""),"Sinderella")</f>
        <v>Sinderella</v>
      </c>
      <c r="C103" s="101" t="str">
        <f>IFERROR(__xludf.DUMMYFUNCTION("""COMPUTED_VALUE"""),"???")</f>
        <v>???</v>
      </c>
      <c r="D103" s="101">
        <f>IFERROR(__xludf.DUMMYFUNCTION("""COMPUTED_VALUE"""),220.0)</f>
        <v>220</v>
      </c>
      <c r="E103" s="101">
        <f>IFERROR(__xludf.DUMMYFUNCTION("""COMPUTED_VALUE"""),60.0)</f>
        <v>60</v>
      </c>
      <c r="F103" s="101" t="str">
        <f>IFERROR(__xludf.DUMMYFUNCTION("""COMPUTED_VALUE"""),"--")</f>
        <v>--</v>
      </c>
      <c r="G103" s="101" t="str">
        <f>IFERROR(__xludf.DUMMYFUNCTION("""COMPUTED_VALUE"""),"--")</f>
        <v>--</v>
      </c>
      <c r="H103" s="101" t="str">
        <f>IFERROR(__xludf.DUMMYFUNCTION("""COMPUTED_VALUE"""),"--")</f>
        <v>--</v>
      </c>
    </row>
    <row r="104">
      <c r="A104" s="92"/>
      <c r="B104" s="93" t="str">
        <f>IFERROR(__xludf.DUMMYFUNCTION("""COMPUTED_VALUE"""),"Whambelina")</f>
        <v>Whambelina</v>
      </c>
      <c r="C104" s="100" t="str">
        <f>IFERROR(__xludf.DUMMYFUNCTION("""COMPUTED_VALUE"""),"???")</f>
        <v>???</v>
      </c>
      <c r="D104" s="100">
        <f>IFERROR(__xludf.DUMMYFUNCTION("""COMPUTED_VALUE"""),280.0)</f>
        <v>280</v>
      </c>
      <c r="E104" s="100">
        <f>IFERROR(__xludf.DUMMYFUNCTION("""COMPUTED_VALUE"""),90.0)</f>
        <v>90</v>
      </c>
      <c r="F104" s="100" t="str">
        <f>IFERROR(__xludf.DUMMYFUNCTION("""COMPUTED_VALUE"""),"--")</f>
        <v>--</v>
      </c>
      <c r="G104" s="100" t="str">
        <f>IFERROR(__xludf.DUMMYFUNCTION("""COMPUTED_VALUE"""),"--")</f>
        <v>--</v>
      </c>
      <c r="H104" s="100" t="str">
        <f>IFERROR(__xludf.DUMMYFUNCTION("""COMPUTED_VALUE"""),"--")</f>
        <v>--</v>
      </c>
    </row>
    <row r="105">
      <c r="A105" s="95"/>
      <c r="B105" s="96" t="str">
        <f>IFERROR(__xludf.DUMMYFUNCTION("""COMPUTED_VALUE"""),"Sterling Sylva")</f>
        <v>Sterling Sylva</v>
      </c>
      <c r="C105" s="101" t="str">
        <f>IFERROR(__xludf.DUMMYFUNCTION("""COMPUTED_VALUE"""),"???")</f>
        <v>???</v>
      </c>
      <c r="D105" s="101">
        <f>IFERROR(__xludf.DUMMYFUNCTION("""COMPUTED_VALUE"""),400.0)</f>
        <v>400</v>
      </c>
      <c r="E105" s="101">
        <f>IFERROR(__xludf.DUMMYFUNCTION("""COMPUTED_VALUE"""),100.0)</f>
        <v>100</v>
      </c>
      <c r="F105" s="101" t="str">
        <f>IFERROR(__xludf.DUMMYFUNCTION("""COMPUTED_VALUE"""),"--")</f>
        <v>--</v>
      </c>
      <c r="G105" s="101" t="str">
        <f>IFERROR(__xludf.DUMMYFUNCTION("""COMPUTED_VALUE"""),"--")</f>
        <v>--</v>
      </c>
      <c r="H105" s="101" t="str">
        <f>IFERROR(__xludf.DUMMYFUNCTION("""COMPUTED_VALUE"""),"--")</f>
        <v>--</v>
      </c>
    </row>
    <row r="106">
      <c r="A106" s="98"/>
      <c r="B106" s="93" t="str">
        <f>IFERROR(__xludf.DUMMYFUNCTION("""COMPUTED_VALUE"""),"Golden Boy")</f>
        <v>Golden Boy</v>
      </c>
      <c r="C106" s="100" t="str">
        <f>IFERROR(__xludf.DUMMYFUNCTION("""COMPUTED_VALUE"""),"???")</f>
        <v>???</v>
      </c>
      <c r="D106" s="100">
        <f>IFERROR(__xludf.DUMMYFUNCTION("""COMPUTED_VALUE"""),300.0)</f>
        <v>300</v>
      </c>
      <c r="E106" s="100">
        <f>IFERROR(__xludf.DUMMYFUNCTION("""COMPUTED_VALUE"""),80.0)</f>
        <v>80</v>
      </c>
      <c r="F106" s="100" t="str">
        <f>IFERROR(__xludf.DUMMYFUNCTION("""COMPUTED_VALUE"""),"--")</f>
        <v>--</v>
      </c>
      <c r="G106" s="100" t="str">
        <f>IFERROR(__xludf.DUMMYFUNCTION("""COMPUTED_VALUE"""),"--")</f>
        <v>--</v>
      </c>
      <c r="H106" s="100" t="str">
        <f>IFERROR(__xludf.DUMMYFUNCTION("""COMPUTED_VALUE"""),"--")</f>
        <v>--</v>
      </c>
    </row>
    <row r="107">
      <c r="A107" s="99" t="str">
        <f>IFERROR(__xludf.DUMMYFUNCTION("""COMPUTED_VALUE"""),"P6")</f>
        <v>P6</v>
      </c>
      <c r="B107" s="96" t="str">
        <f>IFERROR(__xludf.DUMMYFUNCTION("""COMPUTED_VALUE"""),"Masked Rab")</f>
        <v>Masked Rab</v>
      </c>
      <c r="C107" s="101" t="str">
        <f>IFERROR(__xludf.DUMMYFUNCTION("""COMPUTED_VALUE"""),"???")</f>
        <v>???</v>
      </c>
      <c r="D107" s="101">
        <f>IFERROR(__xludf.DUMMYFUNCTION("""COMPUTED_VALUE"""),0.0)</f>
        <v>0</v>
      </c>
      <c r="E107" s="101">
        <f>IFERROR(__xludf.DUMMYFUNCTION("""COMPUTED_VALUE"""),0.0)</f>
        <v>0</v>
      </c>
      <c r="F107" s="101" t="str">
        <f>IFERROR(__xludf.DUMMYFUNCTION("""COMPUTED_VALUE"""),"--")</f>
        <v>--</v>
      </c>
      <c r="G107" s="101" t="str">
        <f>IFERROR(__xludf.DUMMYFUNCTION("""COMPUTED_VALUE"""),"--")</f>
        <v>--</v>
      </c>
      <c r="H107" s="101" t="str">
        <f>IFERROR(__xludf.DUMMYFUNCTION("""COMPUTED_VALUE"""),"--")</f>
        <v>--</v>
      </c>
    </row>
    <row r="108">
      <c r="A108" s="92"/>
      <c r="B108" s="93" t="str">
        <f>IFERROR(__xludf.DUMMYFUNCTION("""COMPUTED_VALUE"""),"Masked Jade")</f>
        <v>Masked Jade</v>
      </c>
      <c r="C108" s="100" t="str">
        <f>IFERROR(__xludf.DUMMYFUNCTION("""COMPUTED_VALUE"""),"???")</f>
        <v>???</v>
      </c>
      <c r="D108" s="100">
        <f>IFERROR(__xludf.DUMMYFUNCTION("""COMPUTED_VALUE"""),0.0)</f>
        <v>0</v>
      </c>
      <c r="E108" s="100">
        <f>IFERROR(__xludf.DUMMYFUNCTION("""COMPUTED_VALUE"""),0.0)</f>
        <v>0</v>
      </c>
      <c r="F108" s="100" t="str">
        <f>IFERROR(__xludf.DUMMYFUNCTION("""COMPUTED_VALUE"""),"--")</f>
        <v>--</v>
      </c>
      <c r="G108" s="100" t="str">
        <f>IFERROR(__xludf.DUMMYFUNCTION("""COMPUTED_VALUE"""),"--")</f>
        <v>--</v>
      </c>
      <c r="H108" s="100" t="str">
        <f>IFERROR(__xludf.DUMMYFUNCTION("""COMPUTED_VALUE"""),"--")</f>
        <v>--</v>
      </c>
    </row>
    <row r="109">
      <c r="A109" s="95"/>
      <c r="B109" s="96" t="str">
        <f>IFERROR(__xludf.DUMMYFUNCTION("""COMPUTED_VALUE"""),"Toxic Zombie")</f>
        <v>Toxic Zombie</v>
      </c>
      <c r="C109" s="101" t="str">
        <f>IFERROR(__xludf.DUMMYFUNCTION("""COMPUTED_VALUE"""),"Undead")</f>
        <v>Undead</v>
      </c>
      <c r="D109" s="101">
        <f>IFERROR(__xludf.DUMMYFUNCTION("""COMPUTED_VALUE"""),124.0)</f>
        <v>124</v>
      </c>
      <c r="E109" s="101">
        <f>IFERROR(__xludf.DUMMYFUNCTION("""COMPUTED_VALUE"""),47.0)</f>
        <v>47</v>
      </c>
      <c r="F109" s="101" t="str">
        <f>IFERROR(__xludf.DUMMYFUNCTION("""COMPUTED_VALUE"""),"Mystifying Mixture")</f>
        <v>Mystifying Mixture</v>
      </c>
      <c r="G109" s="101" t="str">
        <f>IFERROR(__xludf.DUMMYFUNCTION("""COMPUTED_VALUE"""),"Drasilian Guinea")</f>
        <v>Drasilian Guinea</v>
      </c>
      <c r="H109" s="101" t="str">
        <f>IFERROR(__xludf.DUMMYFUNCTION("""COMPUTED_VALUE"""),"--")</f>
        <v>--</v>
      </c>
    </row>
    <row r="110">
      <c r="A110" s="92"/>
      <c r="B110" s="93" t="str">
        <f>IFERROR(__xludf.DUMMYFUNCTION("""COMPUTED_VALUE"""),"Clockwork Cuckoo")</f>
        <v>Clockwork Cuckoo</v>
      </c>
      <c r="C110" s="100" t="str">
        <f>IFERROR(__xludf.DUMMYFUNCTION("""COMPUTED_VALUE"""),"Machine")</f>
        <v>Machine</v>
      </c>
      <c r="D110" s="100">
        <f>IFERROR(__xludf.DUMMYFUNCTION("""COMPUTED_VALUE"""),90.0)</f>
        <v>90</v>
      </c>
      <c r="E110" s="100">
        <f>IFERROR(__xludf.DUMMYFUNCTION("""COMPUTED_VALUE"""),45.0)</f>
        <v>45</v>
      </c>
      <c r="F110" s="100" t="str">
        <f>IFERROR(__xludf.DUMMYFUNCTION("""COMPUTED_VALUE"""),"Chimaera Wing")</f>
        <v>Chimaera Wing</v>
      </c>
      <c r="G110" s="100" t="str">
        <f>IFERROR(__xludf.DUMMYFUNCTION("""COMPUTED_VALUE"""),"Silver Ore")</f>
        <v>Silver Ore</v>
      </c>
      <c r="H110" s="100"/>
    </row>
    <row r="111">
      <c r="A111" s="95"/>
      <c r="B111" s="96" t="str">
        <f>IFERROR(__xludf.DUMMYFUNCTION("""COMPUTED_VALUE"""),"Shadow Minister")</f>
        <v>Shadow Minister</v>
      </c>
      <c r="C111" s="101" t="str">
        <f>IFERROR(__xludf.DUMMYFUNCTION("""COMPUTED_VALUE"""),"Undead")</f>
        <v>Undead</v>
      </c>
      <c r="D111" s="101">
        <f>IFERROR(__xludf.DUMMYFUNCTION("""COMPUTED_VALUE"""),135.0)</f>
        <v>135</v>
      </c>
      <c r="E111" s="101">
        <f>IFERROR(__xludf.DUMMYFUNCTION("""COMPUTED_VALUE"""),45.0)</f>
        <v>45</v>
      </c>
      <c r="F111" s="101" t="str">
        <f>IFERROR(__xludf.DUMMYFUNCTION("""COMPUTED_VALUE"""),"Grubby Bandage")</f>
        <v>Grubby Bandage</v>
      </c>
      <c r="G111" s="101" t="str">
        <f>IFERROR(__xludf.DUMMYFUNCTION("""COMPUTED_VALUE"""),"Staff of Antimagic")</f>
        <v>Staff of Antimagic</v>
      </c>
      <c r="H111" s="101"/>
    </row>
    <row r="112">
      <c r="A112" s="92"/>
      <c r="B112" s="93" t="str">
        <f>IFERROR(__xludf.DUMMYFUNCTION("""COMPUTED_VALUE"""),"Troll")</f>
        <v>Troll</v>
      </c>
      <c r="C112" s="100" t="str">
        <f>IFERROR(__xludf.DUMMYFUNCTION("""COMPUTED_VALUE"""),"Demon")</f>
        <v>Demon</v>
      </c>
      <c r="D112" s="100">
        <f>IFERROR(__xludf.DUMMYFUNCTION("""COMPUTED_VALUE"""),462.0)</f>
        <v>462</v>
      </c>
      <c r="E112" s="100">
        <f>IFERROR(__xludf.DUMMYFUNCTION("""COMPUTED_VALUE"""),95.0)</f>
        <v>95</v>
      </c>
      <c r="F112" s="100" t="str">
        <f>IFERROR(__xludf.DUMMYFUNCTION("""COMPUTED_VALUE"""),"Tough Guy Tattoo")</f>
        <v>Tough Guy Tattoo</v>
      </c>
      <c r="G112" s="100" t="str">
        <f>IFERROR(__xludf.DUMMYFUNCTION("""COMPUTED_VALUE"""),"Seed of Strength")</f>
        <v>Seed of Strength</v>
      </c>
      <c r="H112" s="100"/>
    </row>
    <row r="113">
      <c r="A113" s="95"/>
      <c r="B113" s="96" t="str">
        <f>IFERROR(__xludf.DUMMYFUNCTION("""COMPUTED_VALUE"""),"Cannibox")</f>
        <v>Cannibox</v>
      </c>
      <c r="C113" s="101" t="str">
        <f>IFERROR(__xludf.DUMMYFUNCTION("""COMPUTED_VALUE"""),"Material")</f>
        <v>Material</v>
      </c>
      <c r="D113" s="101">
        <f>IFERROR(__xludf.DUMMYFUNCTION("""COMPUTED_VALUE"""),288.0)</f>
        <v>288</v>
      </c>
      <c r="E113" s="101">
        <f>IFERROR(__xludf.DUMMYFUNCTION("""COMPUTED_VALUE"""),46.0)</f>
        <v>46</v>
      </c>
      <c r="F113" s="101" t="str">
        <f>IFERROR(__xludf.DUMMYFUNCTION("""COMPUTED_VALUE"""),"Seed of Skill")</f>
        <v>Seed of Skill</v>
      </c>
      <c r="G113" s="101" t="str">
        <f>IFERROR(__xludf.DUMMYFUNCTION("""COMPUTED_VALUE"""),"--")</f>
        <v>--</v>
      </c>
      <c r="H113" s="101" t="str">
        <f>IFERROR(__xludf.DUMMYFUNCTION("""COMPUTED_VALUE"""),"--")</f>
        <v>--</v>
      </c>
    </row>
    <row r="114">
      <c r="A114" s="92"/>
      <c r="B114" s="93" t="str">
        <f>IFERROR(__xludf.DUMMYFUNCTION("""COMPUTED_VALUE"""),"Arachtagon")</f>
        <v>Arachtagon</v>
      </c>
      <c r="C114" s="100" t="str">
        <f>IFERROR(__xludf.DUMMYFUNCTION("""COMPUTED_VALUE"""),"Nature")</f>
        <v>Nature</v>
      </c>
      <c r="D114" s="100">
        <f>IFERROR(__xludf.DUMMYFUNCTION("""COMPUTED_VALUE"""),3000.0)</f>
        <v>3000</v>
      </c>
      <c r="E114" s="100">
        <f>IFERROR(__xludf.DUMMYFUNCTION("""COMPUTED_VALUE"""),2700.0)</f>
        <v>2700</v>
      </c>
      <c r="F114" s="100" t="str">
        <f>IFERROR(__xludf.DUMMYFUNCTION("""COMPUTED_VALUE"""),"--")</f>
        <v>--</v>
      </c>
      <c r="G114" s="100" t="str">
        <f>IFERROR(__xludf.DUMMYFUNCTION("""COMPUTED_VALUE"""),"--")</f>
        <v>--</v>
      </c>
      <c r="H114" s="100" t="str">
        <f>IFERROR(__xludf.DUMMYFUNCTION("""COMPUTED_VALUE"""),"--")</f>
        <v>--</v>
      </c>
    </row>
    <row r="115">
      <c r="A115" s="95"/>
      <c r="B115" s="96" t="str">
        <f>IFERROR(__xludf.DUMMYFUNCTION("""COMPUTED_VALUE"""),"Vince")</f>
        <v>Vince</v>
      </c>
      <c r="C115" s="101" t="str">
        <f>IFERROR(__xludf.DUMMYFUNCTION("""COMPUTED_VALUE"""),"???")</f>
        <v>???</v>
      </c>
      <c r="D115" s="101">
        <f>IFERROR(__xludf.DUMMYFUNCTION("""COMPUTED_VALUE"""),0.0)</f>
        <v>0</v>
      </c>
      <c r="E115" s="101">
        <f>IFERROR(__xludf.DUMMYFUNCTION("""COMPUTED_VALUE"""),0.0)</f>
        <v>0</v>
      </c>
      <c r="F115" s="101" t="str">
        <f>IFERROR(__xludf.DUMMYFUNCTION("""COMPUTED_VALUE"""),"--")</f>
        <v>--</v>
      </c>
      <c r="G115" s="101" t="str">
        <f>IFERROR(__xludf.DUMMYFUNCTION("""COMPUTED_VALUE"""),"--")</f>
        <v>--</v>
      </c>
      <c r="H115" s="101" t="str">
        <f>IFERROR(__xludf.DUMMYFUNCTION("""COMPUTED_VALUE"""),"--")</f>
        <v>--</v>
      </c>
    </row>
    <row r="116">
      <c r="A116" s="92"/>
      <c r="B116" s="93" t="str">
        <f>IFERROR(__xludf.DUMMYFUNCTION("""COMPUTED_VALUE"""),"Knight Errant")</f>
        <v>Knight Errant</v>
      </c>
      <c r="C116" s="100" t="str">
        <f>IFERROR(__xludf.DUMMYFUNCTION("""COMPUTED_VALUE"""),"Demon")</f>
        <v>Demon</v>
      </c>
      <c r="D116" s="100">
        <f>IFERROR(__xludf.DUMMYFUNCTION("""COMPUTED_VALUE"""),164.0)</f>
        <v>164</v>
      </c>
      <c r="E116" s="100">
        <f>IFERROR(__xludf.DUMMYFUNCTION("""COMPUTED_VALUE"""),54.0)</f>
        <v>54</v>
      </c>
      <c r="F116" s="100" t="str">
        <f>IFERROR(__xludf.DUMMYFUNCTION("""COMPUTED_VALUE"""),"Silver Ore")</f>
        <v>Silver Ore</v>
      </c>
      <c r="G116" s="100" t="str">
        <f>IFERROR(__xludf.DUMMYFUNCTION("""COMPUTED_VALUE"""),"Ring of Clarity")</f>
        <v>Ring of Clarity</v>
      </c>
      <c r="H116" s="100"/>
    </row>
    <row r="117">
      <c r="A117" s="95"/>
      <c r="B117" s="96" t="str">
        <f>IFERROR(__xludf.DUMMYFUNCTION("""COMPUTED_VALUE"""),"Mushroom Mage")</f>
        <v>Mushroom Mage</v>
      </c>
      <c r="C117" s="101" t="str">
        <f>IFERROR(__xludf.DUMMYFUNCTION("""COMPUTED_VALUE"""),"Nature")</f>
        <v>Nature</v>
      </c>
      <c r="D117" s="101">
        <f>IFERROR(__xludf.DUMMYFUNCTION("""COMPUTED_VALUE"""),179.0)</f>
        <v>179</v>
      </c>
      <c r="E117" s="101">
        <f>IFERROR(__xludf.DUMMYFUNCTION("""COMPUTED_VALUE"""),52.0)</f>
        <v>52</v>
      </c>
      <c r="F117" s="101" t="str">
        <f>IFERROR(__xludf.DUMMYFUNCTION("""COMPUTED_VALUE"""),"Belle Cap")</f>
        <v>Belle Cap</v>
      </c>
      <c r="G117" s="101" t="str">
        <f>IFERROR(__xludf.DUMMYFUNCTION("""COMPUTED_VALUE"""),"Narspicious")</f>
        <v>Narspicious</v>
      </c>
      <c r="H117" s="101"/>
    </row>
    <row r="118">
      <c r="A118" s="92"/>
      <c r="B118" s="93" t="str">
        <f>IFERROR(__xludf.DUMMYFUNCTION("""COMPUTED_VALUE"""),"Orc")</f>
        <v>Orc</v>
      </c>
      <c r="C118" s="100" t="str">
        <f>IFERROR(__xludf.DUMMYFUNCTION("""COMPUTED_VALUE"""),"Beast")</f>
        <v>Beast</v>
      </c>
      <c r="D118" s="100">
        <f>IFERROR(__xludf.DUMMYFUNCTION("""COMPUTED_VALUE"""),166.0)</f>
        <v>166</v>
      </c>
      <c r="E118" s="100">
        <f>IFERROR(__xludf.DUMMYFUNCTION("""COMPUTED_VALUE"""),41.0)</f>
        <v>41</v>
      </c>
      <c r="F118" s="100" t="str">
        <f>IFERROR(__xludf.DUMMYFUNCTION("""COMPUTED_VALUE"""),"Medicinal Herb")</f>
        <v>Medicinal Herb</v>
      </c>
      <c r="G118" s="100" t="str">
        <f>IFERROR(__xludf.DUMMYFUNCTION("""COMPUTED_VALUE"""),"Iron Lance")</f>
        <v>Iron Lance</v>
      </c>
      <c r="H118" s="100"/>
    </row>
    <row r="119">
      <c r="A119" s="95"/>
      <c r="B119" s="96" t="str">
        <f>IFERROR(__xludf.DUMMYFUNCTION("""COMPUTED_VALUE"""),"Raven Lunatic")</f>
        <v>Raven Lunatic</v>
      </c>
      <c r="C119" s="101" t="str">
        <f>IFERROR(__xludf.DUMMYFUNCTION("""COMPUTED_VALUE"""),"Bird")</f>
        <v>Bird</v>
      </c>
      <c r="D119" s="101">
        <f>IFERROR(__xludf.DUMMYFUNCTION("""COMPUTED_VALUE"""),158.0)</f>
        <v>158</v>
      </c>
      <c r="E119" s="101">
        <f>IFERROR(__xludf.DUMMYFUNCTION("""COMPUTED_VALUE"""),45.0)</f>
        <v>45</v>
      </c>
      <c r="F119" s="101" t="str">
        <f>IFERROR(__xludf.DUMMYFUNCTION("""COMPUTED_VALUE"""),"Beast Bone")</f>
        <v>Beast Bone</v>
      </c>
      <c r="G119" s="101" t="str">
        <f>IFERROR(__xludf.DUMMYFUNCTION("""COMPUTED_VALUE"""),"Seed of Agility")</f>
        <v>Seed of Agility</v>
      </c>
      <c r="H119" s="101"/>
    </row>
    <row r="120">
      <c r="A120" s="92"/>
      <c r="B120" s="93" t="str">
        <f>IFERROR(__xludf.DUMMYFUNCTION("""COMPUTED_VALUE"""),"Stump Grump")</f>
        <v>Stump Grump</v>
      </c>
      <c r="C120" s="100" t="str">
        <f>IFERROR(__xludf.DUMMYFUNCTION("""COMPUTED_VALUE"""),"Nature")</f>
        <v>Nature</v>
      </c>
      <c r="D120" s="100">
        <f>IFERROR(__xludf.DUMMYFUNCTION("""COMPUTED_VALUE"""),183.0)</f>
        <v>183</v>
      </c>
      <c r="E120" s="100">
        <f>IFERROR(__xludf.DUMMYFUNCTION("""COMPUTED_VALUE"""),42.0)</f>
        <v>42</v>
      </c>
      <c r="F120" s="100" t="str">
        <f>IFERROR(__xludf.DUMMYFUNCTION("""COMPUTED_VALUE"""),"Strong Medicine")</f>
        <v>Strong Medicine</v>
      </c>
      <c r="G120" s="100" t="str">
        <f>IFERROR(__xludf.DUMMYFUNCTION("""COMPUTED_VALUE"""),"Glimmergrass")</f>
        <v>Glimmergrass</v>
      </c>
      <c r="H120" s="100"/>
    </row>
    <row r="121">
      <c r="A121" s="95"/>
      <c r="B121" s="96" t="str">
        <f>IFERROR(__xludf.DUMMYFUNCTION("""COMPUTED_VALUE"""),"Green Dragon")</f>
        <v>Green Dragon</v>
      </c>
      <c r="C121" s="101" t="str">
        <f>IFERROR(__xludf.DUMMYFUNCTION("""COMPUTED_VALUE"""),"Dragon")</f>
        <v>Dragon</v>
      </c>
      <c r="D121" s="101">
        <f>IFERROR(__xludf.DUMMYFUNCTION("""COMPUTED_VALUE"""),656.0)</f>
        <v>656</v>
      </c>
      <c r="E121" s="101">
        <f>IFERROR(__xludf.DUMMYFUNCTION("""COMPUTED_VALUE"""),123.0)</f>
        <v>123</v>
      </c>
      <c r="F121" s="101" t="str">
        <f>IFERROR(__xludf.DUMMYFUNCTION("""COMPUTED_VALUE"""),"Dragon Hide")</f>
        <v>Dragon Hide</v>
      </c>
      <c r="G121" s="101" t="str">
        <f>IFERROR(__xludf.DUMMYFUNCTION("""COMPUTED_VALUE"""),"Dragon Horn")</f>
        <v>Dragon Horn</v>
      </c>
      <c r="H121" s="101"/>
    </row>
    <row r="122">
      <c r="A122" s="92"/>
      <c r="B122" s="93" t="str">
        <f>IFERROR(__xludf.DUMMYFUNCTION("""COMPUTED_VALUE"""),"Smacker")</f>
        <v>Smacker</v>
      </c>
      <c r="C122" s="100" t="str">
        <f>IFERROR(__xludf.DUMMYFUNCTION("""COMPUTED_VALUE"""),"Nature")</f>
        <v>Nature</v>
      </c>
      <c r="D122" s="100">
        <f>IFERROR(__xludf.DUMMYFUNCTION("""COMPUTED_VALUE"""),79.0)</f>
        <v>79</v>
      </c>
      <c r="E122" s="100">
        <f>IFERROR(__xludf.DUMMYFUNCTION("""COMPUTED_VALUE"""),26.0)</f>
        <v>26</v>
      </c>
      <c r="F122" s="100" t="str">
        <f>IFERROR(__xludf.DUMMYFUNCTION("""COMPUTED_VALUE"""),"Magic Water")</f>
        <v>Magic Water</v>
      </c>
      <c r="G122" s="100" t="str">
        <f>IFERROR(__xludf.DUMMYFUNCTION("""COMPUTED_VALUE"""),"Fishnet Stockings")</f>
        <v>Fishnet Stockings</v>
      </c>
      <c r="H122" s="100"/>
    </row>
    <row r="123">
      <c r="A123" s="95"/>
      <c r="B123" s="96" t="str">
        <f>IFERROR(__xludf.DUMMYFUNCTION("""COMPUTED_VALUE"""),"Kriller Killer")</f>
        <v>Kriller Killer</v>
      </c>
      <c r="C123" s="101" t="str">
        <f>IFERROR(__xludf.DUMMYFUNCTION("""COMPUTED_VALUE"""),"Nature")</f>
        <v>Nature</v>
      </c>
      <c r="D123" s="101">
        <f>IFERROR(__xludf.DUMMYFUNCTION("""COMPUTED_VALUE"""),368.0)</f>
        <v>368</v>
      </c>
      <c r="E123" s="101">
        <f>IFERROR(__xludf.DUMMYFUNCTION("""COMPUTED_VALUE"""),68.0)</f>
        <v>68</v>
      </c>
      <c r="F123" s="101" t="str">
        <f>IFERROR(__xludf.DUMMYFUNCTION("""COMPUTED_VALUE"""),"Tiny Tortoise Shell")</f>
        <v>Tiny Tortoise Shell</v>
      </c>
      <c r="G123" s="101" t="str">
        <f>IFERROR(__xludf.DUMMYFUNCTION("""COMPUTED_VALUE"""),"Scorpion Tail")</f>
        <v>Scorpion Tail</v>
      </c>
      <c r="H123" s="101"/>
    </row>
    <row r="124">
      <c r="A124" s="92"/>
      <c r="B124" s="93" t="str">
        <f>IFERROR(__xludf.DUMMYFUNCTION("""COMPUTED_VALUE"""),"Slime Knight")</f>
        <v>Slime Knight</v>
      </c>
      <c r="C124" s="100" t="str">
        <f>IFERROR(__xludf.DUMMYFUNCTION("""COMPUTED_VALUE"""),"Slime")</f>
        <v>Slime</v>
      </c>
      <c r="D124" s="100">
        <f>IFERROR(__xludf.DUMMYFUNCTION("""COMPUTED_VALUE"""),92.0)</f>
        <v>92</v>
      </c>
      <c r="E124" s="100">
        <f>IFERROR(__xludf.DUMMYFUNCTION("""COMPUTED_VALUE"""),30.0)</f>
        <v>30</v>
      </c>
      <c r="F124" s="100" t="str">
        <f>IFERROR(__xludf.DUMMYFUNCTION("""COMPUTED_VALUE"""),"Slimedrop")</f>
        <v>Slimedrop</v>
      </c>
      <c r="G124" s="100" t="str">
        <f>IFERROR(__xludf.DUMMYFUNCTION("""COMPUTED_VALUE"""),"Iron Broadsword")</f>
        <v>Iron Broadsword</v>
      </c>
      <c r="H124" s="100"/>
    </row>
    <row r="125">
      <c r="A125" s="95"/>
      <c r="B125" s="103" t="str">
        <f>IFERROR(__xludf.DUMMYFUNCTION("""COMPUTED_VALUE"""),"Snooty Slime Knight (Rarefied)")</f>
        <v>Snooty Slime Knight (Rarefied)</v>
      </c>
      <c r="C125" s="96" t="str">
        <f>IFERROR(__xludf.DUMMYFUNCTION("""COMPUTED_VALUE"""),"Slime")</f>
        <v>Slime</v>
      </c>
      <c r="D125" s="96">
        <f>IFERROR(__xludf.DUMMYFUNCTION("""COMPUTED_VALUE"""),439.0)</f>
        <v>439</v>
      </c>
      <c r="E125" s="96">
        <f>IFERROR(__xludf.DUMMYFUNCTION("""COMPUTED_VALUE"""),195.0)</f>
        <v>195</v>
      </c>
      <c r="F125" s="96" t="str">
        <f>IFERROR(__xludf.DUMMYFUNCTION("""COMPUTED_VALUE"""),"Prayer Ring")</f>
        <v>Prayer Ring</v>
      </c>
      <c r="G125" s="96" t="str">
        <f>IFERROR(__xludf.DUMMYFUNCTION("""COMPUTED_VALUE"""),"Life Ring")</f>
        <v>Life Ring</v>
      </c>
      <c r="H125" s="96" t="str">
        <f>IFERROR(__xludf.DUMMYFUNCTION("""COMPUTED_VALUE"""),"The Costa Valor, Insula Orientalis, rare Slime Knight")</f>
        <v>The Costa Valor, Insula Orientalis, rare Slime Knight</v>
      </c>
    </row>
    <row r="126">
      <c r="A126" s="98"/>
      <c r="B126" s="93" t="str">
        <f>IFERROR(__xludf.DUMMYFUNCTION("""COMPUTED_VALUE"""),"Bodkin Fletcher")</f>
        <v>Bodkin Fletcher</v>
      </c>
      <c r="C126" s="100" t="str">
        <f>IFERROR(__xludf.DUMMYFUNCTION("""COMPUTED_VALUE"""),"Humanoid")</f>
        <v>Humanoid</v>
      </c>
      <c r="D126" s="100">
        <f>IFERROR(__xludf.DUMMYFUNCTION("""COMPUTED_VALUE"""),81.0)</f>
        <v>81</v>
      </c>
      <c r="E126" s="100">
        <f>IFERROR(__xludf.DUMMYFUNCTION("""COMPUTED_VALUE"""),30.0)</f>
        <v>30</v>
      </c>
      <c r="F126" s="100" t="str">
        <f>IFERROR(__xludf.DUMMYFUNCTION("""COMPUTED_VALUE"""),"Strong Antidote")</f>
        <v>Strong Antidote</v>
      </c>
      <c r="G126" s="100" t="str">
        <f>IFERROR(__xludf.DUMMYFUNCTION("""COMPUTED_VALUE"""),"Poison Moth Knife")</f>
        <v>Poison Moth Knife</v>
      </c>
      <c r="H126" s="100"/>
    </row>
    <row r="127">
      <c r="A127" s="99" t="str">
        <f>IFERROR(__xludf.DUMMYFUNCTION("""COMPUTED_VALUE"""),"P7")</f>
        <v>P7</v>
      </c>
      <c r="B127" s="96" t="str">
        <f>IFERROR(__xludf.DUMMYFUNCTION("""COMPUTED_VALUE"""),"Seaslime")</f>
        <v>Seaslime</v>
      </c>
      <c r="C127" s="101" t="str">
        <f>IFERROR(__xludf.DUMMYFUNCTION("""COMPUTED_VALUE"""),"Slime")</f>
        <v>Slime</v>
      </c>
      <c r="D127" s="101">
        <f>IFERROR(__xludf.DUMMYFUNCTION("""COMPUTED_VALUE"""),133.0)</f>
        <v>133</v>
      </c>
      <c r="E127" s="101">
        <f>IFERROR(__xludf.DUMMYFUNCTION("""COMPUTED_VALUE"""),37.0)</f>
        <v>37</v>
      </c>
      <c r="F127" s="101" t="str">
        <f>IFERROR(__xludf.DUMMYFUNCTION("""COMPUTED_VALUE"""),"Crimson Coral")</f>
        <v>Crimson Coral</v>
      </c>
      <c r="G127" s="101" t="str">
        <f>IFERROR(__xludf.DUMMYFUNCTION("""COMPUTED_VALUE"""),"Slime Earrings")</f>
        <v>Slime Earrings</v>
      </c>
      <c r="H127" s="101"/>
    </row>
    <row r="128">
      <c r="A128" s="92"/>
      <c r="B128" s="93" t="str">
        <f>IFERROR(__xludf.DUMMYFUNCTION("""COMPUTED_VALUE"""),"Mermaniac")</f>
        <v>Mermaniac</v>
      </c>
      <c r="C128" s="100" t="str">
        <f>IFERROR(__xludf.DUMMYFUNCTION("""COMPUTED_VALUE"""),"Nature")</f>
        <v>Nature</v>
      </c>
      <c r="D128" s="100">
        <f>IFERROR(__xludf.DUMMYFUNCTION("""COMPUTED_VALUE"""),203.0)</f>
        <v>203</v>
      </c>
      <c r="E128" s="100">
        <f>IFERROR(__xludf.DUMMYFUNCTION("""COMPUTED_VALUE"""),62.0)</f>
        <v>62</v>
      </c>
      <c r="F128" s="100" t="str">
        <f>IFERROR(__xludf.DUMMYFUNCTION("""COMPUTED_VALUE"""),"Large Scale")</f>
        <v>Large Scale</v>
      </c>
      <c r="G128" s="100" t="str">
        <f>IFERROR(__xludf.DUMMYFUNCTION("""COMPUTED_VALUE"""),"Iron Claws")</f>
        <v>Iron Claws</v>
      </c>
      <c r="H128" s="100"/>
    </row>
    <row r="129">
      <c r="A129" s="95"/>
      <c r="B129" s="96" t="str">
        <f>IFERROR(__xludf.DUMMYFUNCTION("""COMPUTED_VALUE"""),"Spinchilla")</f>
        <v>Spinchilla</v>
      </c>
      <c r="C129" s="101" t="str">
        <f>IFERROR(__xludf.DUMMYFUNCTION("""COMPUTED_VALUE"""),"Elemental")</f>
        <v>Elemental</v>
      </c>
      <c r="D129" s="101">
        <f>IFERROR(__xludf.DUMMYFUNCTION("""COMPUTED_VALUE"""),141.0)</f>
        <v>141</v>
      </c>
      <c r="E129" s="101">
        <f>IFERROR(__xludf.DUMMYFUNCTION("""COMPUTED_VALUE"""),133.0)</f>
        <v>133</v>
      </c>
      <c r="F129" s="101" t="str">
        <f>IFERROR(__xludf.DUMMYFUNCTION("""COMPUTED_VALUE"""),"Watermaul Wand")</f>
        <v>Watermaul Wand</v>
      </c>
      <c r="G129" s="101" t="str">
        <f>IFERROR(__xludf.DUMMYFUNCTION("""COMPUTED_VALUE"""),"Mercury's Bandana")</f>
        <v>Mercury's Bandana</v>
      </c>
      <c r="H129" s="101"/>
    </row>
    <row r="130">
      <c r="A130" s="92"/>
      <c r="B130" s="93" t="str">
        <f>IFERROR(__xludf.DUMMYFUNCTION("""COMPUTED_VALUE"""),"Diethon")</f>
        <v>Diethon</v>
      </c>
      <c r="C130" s="100" t="str">
        <f>IFERROR(__xludf.DUMMYFUNCTION("""COMPUTED_VALUE"""),"Dragon")</f>
        <v>Dragon</v>
      </c>
      <c r="D130" s="100">
        <f>IFERROR(__xludf.DUMMYFUNCTION("""COMPUTED_VALUE"""),191.0)</f>
        <v>191</v>
      </c>
      <c r="E130" s="100">
        <f>IFERROR(__xludf.DUMMYFUNCTION("""COMPUTED_VALUE"""),49.0)</f>
        <v>49</v>
      </c>
      <c r="F130" s="100" t="str">
        <f>IFERROR(__xludf.DUMMYFUNCTION("""COMPUTED_VALUE"""),"Snakeskin")</f>
        <v>Snakeskin</v>
      </c>
      <c r="G130" s="100" t="str">
        <f>IFERROR(__xludf.DUMMYFUNCTION("""COMPUTED_VALUE"""),"Purple Eye")</f>
        <v>Purple Eye</v>
      </c>
      <c r="H130" s="100"/>
    </row>
    <row r="131">
      <c r="A131" s="95"/>
      <c r="B131" s="96" t="str">
        <f>IFERROR(__xludf.DUMMYFUNCTION("""COMPUTED_VALUE"""),"Handsome Crab")</f>
        <v>Handsome Crab</v>
      </c>
      <c r="C131" s="101" t="str">
        <f>IFERROR(__xludf.DUMMYFUNCTION("""COMPUTED_VALUE"""),"Nature")</f>
        <v>Nature</v>
      </c>
      <c r="D131" s="101">
        <f>IFERROR(__xludf.DUMMYFUNCTION("""COMPUTED_VALUE"""),187.0)</f>
        <v>187</v>
      </c>
      <c r="E131" s="101">
        <f>IFERROR(__xludf.DUMMYFUNCTION("""COMPUTED_VALUE"""),40.0)</f>
        <v>40</v>
      </c>
      <c r="F131" s="101" t="str">
        <f>IFERROR(__xludf.DUMMYFUNCTION("""COMPUTED_VALUE"""),"Blue Eye")</f>
        <v>Blue Eye</v>
      </c>
      <c r="G131" s="101" t="str">
        <f>IFERROR(__xludf.DUMMYFUNCTION("""COMPUTED_VALUE"""),"Dieamend")</f>
        <v>Dieamend</v>
      </c>
      <c r="H131" s="101"/>
    </row>
    <row r="132">
      <c r="A132" s="92"/>
      <c r="B132" s="93" t="str">
        <f>IFERROR(__xludf.DUMMYFUNCTION("""COMPUTED_VALUE"""),"Tentacular")</f>
        <v>Tentacular</v>
      </c>
      <c r="C132" s="100" t="str">
        <f>IFERROR(__xludf.DUMMYFUNCTION("""COMPUTED_VALUE"""),"Nature")</f>
        <v>Nature</v>
      </c>
      <c r="D132" s="100">
        <f>IFERROR(__xludf.DUMMYFUNCTION("""COMPUTED_VALUE"""),2700.0)</f>
        <v>2700</v>
      </c>
      <c r="E132" s="100">
        <f>IFERROR(__xludf.DUMMYFUNCTION("""COMPUTED_VALUE"""),440.0)</f>
        <v>440</v>
      </c>
      <c r="F132" s="100" t="str">
        <f>IFERROR(__xludf.DUMMYFUNCTION("""COMPUTED_VALUE"""),"Special Medicine")</f>
        <v>Special Medicine</v>
      </c>
      <c r="G132" s="100" t="str">
        <f>IFERROR(__xludf.DUMMYFUNCTION("""COMPUTED_VALUE"""),"Full Moon Ring")</f>
        <v>Full Moon Ring</v>
      </c>
      <c r="H132" s="100"/>
    </row>
    <row r="133">
      <c r="A133" s="95"/>
      <c r="B133" s="96" t="str">
        <f>IFERROR(__xludf.DUMMYFUNCTION("""COMPUTED_VALUE"""),"Spiked Hare")</f>
        <v>Spiked Hare</v>
      </c>
      <c r="C133" s="101" t="str">
        <f>IFERROR(__xludf.DUMMYFUNCTION("""COMPUTED_VALUE"""),"Beast")</f>
        <v>Beast</v>
      </c>
      <c r="D133" s="101">
        <f>IFERROR(__xludf.DUMMYFUNCTION("""COMPUTED_VALUE"""),142.0)</f>
        <v>142</v>
      </c>
      <c r="E133" s="101">
        <f>IFERROR(__xludf.DUMMYFUNCTION("""COMPUTED_VALUE"""),35.0)</f>
        <v>35</v>
      </c>
      <c r="F133" s="101" t="str">
        <f>IFERROR(__xludf.DUMMYFUNCTION("""COMPUTED_VALUE"""),"Magic Beast Horn")</f>
        <v>Magic Beast Horn</v>
      </c>
      <c r="G133" s="101" t="str">
        <f>IFERROR(__xludf.DUMMYFUNCTION("""COMPUTED_VALUE"""),"Bunny Tail")</f>
        <v>Bunny Tail</v>
      </c>
      <c r="H133" s="101"/>
    </row>
    <row r="134">
      <c r="A134" s="92"/>
      <c r="B134" s="102" t="str">
        <f>IFERROR(__xludf.DUMMYFUNCTION("""COMPUTED_VALUE"""),"24-Carrot Bunicorn (Rarefied)")</f>
        <v>24-Carrot Bunicorn (Rarefied)</v>
      </c>
      <c r="C134" s="93" t="str">
        <f>IFERROR(__xludf.DUMMYFUNCTION("""COMPUTED_VALUE"""),"Beast")</f>
        <v>Beast</v>
      </c>
      <c r="D134" s="93">
        <f>IFERROR(__xludf.DUMMYFUNCTION("""COMPUTED_VALUE"""),719.0)</f>
        <v>719</v>
      </c>
      <c r="E134" s="93">
        <f>IFERROR(__xludf.DUMMYFUNCTION("""COMPUTED_VALUE"""),512.0)</f>
        <v>512</v>
      </c>
      <c r="F134" s="93" t="str">
        <f>IFERROR(__xludf.DUMMYFUNCTION("""COMPUTED_VALUE"""),"Gold Nuglet")</f>
        <v>Gold Nuglet</v>
      </c>
      <c r="G134" s="93" t="str">
        <f>IFERROR(__xludf.DUMMYFUNCTION("""COMPUTED_VALUE"""),"Bunny Tail")</f>
        <v>Bunny Tail</v>
      </c>
      <c r="H134" s="93" t="str">
        <f>IFERROR(__xludf.DUMMYFUNCTION("""COMPUTED_VALUE"""),"Dundrasil Region, Insula Occidentalis, rare Spiked Hare")</f>
        <v>Dundrasil Region, Insula Occidentalis, rare Spiked Hare</v>
      </c>
    </row>
    <row r="135">
      <c r="A135" s="95"/>
      <c r="B135" s="96" t="str">
        <f>IFERROR(__xludf.DUMMYFUNCTION("""COMPUTED_VALUE"""),"Jowler")</f>
        <v>Jowler</v>
      </c>
      <c r="C135" s="101" t="str">
        <f>IFERROR(__xludf.DUMMYFUNCTION("""COMPUTED_VALUE"""),"Beast")</f>
        <v>Beast</v>
      </c>
      <c r="D135" s="101">
        <f>IFERROR(__xludf.DUMMYFUNCTION("""COMPUTED_VALUE"""),678.0)</f>
        <v>678</v>
      </c>
      <c r="E135" s="101">
        <f>IFERROR(__xludf.DUMMYFUNCTION("""COMPUTED_VALUE"""),105.0)</f>
        <v>105</v>
      </c>
      <c r="F135" s="101" t="str">
        <f>IFERROR(__xludf.DUMMYFUNCTION("""COMPUTED_VALUE"""),"Magic Beast Horn")</f>
        <v>Magic Beast Horn</v>
      </c>
      <c r="G135" s="101" t="str">
        <f>IFERROR(__xludf.DUMMYFUNCTION("""COMPUTED_VALUE"""),"Spellbound Bough")</f>
        <v>Spellbound Bough</v>
      </c>
      <c r="H135" s="101"/>
    </row>
    <row r="136">
      <c r="A136" s="92"/>
      <c r="B136" s="93" t="str">
        <f>IFERROR(__xludf.DUMMYFUNCTION("""COMPUTED_VALUE"""),"Cyclops")</f>
        <v>Cyclops</v>
      </c>
      <c r="C136" s="100" t="str">
        <f>IFERROR(__xludf.DUMMYFUNCTION("""COMPUTED_VALUE"""),"Demon")</f>
        <v>Demon</v>
      </c>
      <c r="D136" s="100">
        <f>IFERROR(__xludf.DUMMYFUNCTION("""COMPUTED_VALUE"""),792.0)</f>
        <v>792</v>
      </c>
      <c r="E136" s="100">
        <f>IFERROR(__xludf.DUMMYFUNCTION("""COMPUTED_VALUE"""),120.0)</f>
        <v>120</v>
      </c>
      <c r="F136" s="100" t="str">
        <f>IFERROR(__xludf.DUMMYFUNCTION("""COMPUTED_VALUE"""),"Blue Eye")</f>
        <v>Blue Eye</v>
      </c>
      <c r="G136" s="100" t="str">
        <f>IFERROR(__xludf.DUMMYFUNCTION("""COMPUTED_VALUE"""),"Hairy Vest")</f>
        <v>Hairy Vest</v>
      </c>
      <c r="H136" s="100"/>
    </row>
    <row r="137">
      <c r="A137" s="95"/>
      <c r="B137" s="96" t="str">
        <f>IFERROR(__xludf.DUMMYFUNCTION("""COMPUTED_VALUE"""),"Lump Mage")</f>
        <v>Lump Mage</v>
      </c>
      <c r="C137" s="101" t="str">
        <f>IFERROR(__xludf.DUMMYFUNCTION("""COMPUTED_VALUE"""),"Humanoid")</f>
        <v>Humanoid</v>
      </c>
      <c r="D137" s="101">
        <f>IFERROR(__xludf.DUMMYFUNCTION("""COMPUTED_VALUE"""),155.0)</f>
        <v>155</v>
      </c>
      <c r="E137" s="101">
        <f>IFERROR(__xludf.DUMMYFUNCTION("""COMPUTED_VALUE"""),46.0)</f>
        <v>46</v>
      </c>
      <c r="F137" s="101" t="str">
        <f>IFERROR(__xludf.DUMMYFUNCTION("""COMPUTED_VALUE"""),"Magic Water")</f>
        <v>Magic Water</v>
      </c>
      <c r="G137" s="101" t="str">
        <f>IFERROR(__xludf.DUMMYFUNCTION("""COMPUTED_VALUE"""),"Wizard's Staff")</f>
        <v>Wizard's Staff</v>
      </c>
      <c r="H137" s="101" t="str">
        <f>IFERROR(__xludf.DUMMYFUNCTION("""COMPUTED_VALUE"""),"The Champs Sauvage")</f>
        <v>The Champs Sauvage</v>
      </c>
    </row>
    <row r="138">
      <c r="A138" s="92"/>
      <c r="B138" s="93" t="str">
        <f>IFERROR(__xludf.DUMMYFUNCTION("""COMPUTED_VALUE"""),"Medislime")</f>
        <v>Medislime</v>
      </c>
      <c r="C138" s="100" t="str">
        <f>IFERROR(__xludf.DUMMYFUNCTION("""COMPUTED_VALUE"""),"Slime")</f>
        <v>Slime</v>
      </c>
      <c r="D138" s="100">
        <f>IFERROR(__xludf.DUMMYFUNCTION("""COMPUTED_VALUE"""),163.0)</f>
        <v>163</v>
      </c>
      <c r="E138" s="100">
        <f>IFERROR(__xludf.DUMMYFUNCTION("""COMPUTED_VALUE"""),49.0)</f>
        <v>49</v>
      </c>
      <c r="F138" s="100" t="str">
        <f>IFERROR(__xludf.DUMMYFUNCTION("""COMPUTED_VALUE"""),"Strong Medicine")</f>
        <v>Strong Medicine</v>
      </c>
      <c r="G138" s="100" t="str">
        <f>IFERROR(__xludf.DUMMYFUNCTION("""COMPUTED_VALUE"""),"Slimedrop")</f>
        <v>Slimedrop</v>
      </c>
      <c r="H138" s="100" t="str">
        <f>IFERROR(__xludf.DUMMYFUNCTION("""COMPUTED_VALUE"""),"The Eerie Eyrie")</f>
        <v>The Eerie Eyrie</v>
      </c>
    </row>
    <row r="139">
      <c r="A139" s="95"/>
      <c r="B139" s="96" t="str">
        <f>IFERROR(__xludf.DUMMYFUNCTION("""COMPUTED_VALUE"""),"Slime (Amalgoomated)")</f>
        <v>Slime (Amalgoomated)</v>
      </c>
      <c r="C139" s="101" t="str">
        <f>IFERROR(__xludf.DUMMYFUNCTION("""COMPUTED_VALUE"""),"Slime")</f>
        <v>Slime</v>
      </c>
      <c r="D139" s="101">
        <f>IFERROR(__xludf.DUMMYFUNCTION("""COMPUTED_VALUE"""),40.0)</f>
        <v>40</v>
      </c>
      <c r="E139" s="101">
        <f>IFERROR(__xludf.DUMMYFUNCTION("""COMPUTED_VALUE"""),29.0)</f>
        <v>29</v>
      </c>
      <c r="F139" s="101" t="str">
        <f>IFERROR(__xludf.DUMMYFUNCTION("""COMPUTED_VALUE"""),"Medicinal Herb")</f>
        <v>Medicinal Herb</v>
      </c>
      <c r="G139" s="101" t="str">
        <f>IFERROR(__xludf.DUMMYFUNCTION("""COMPUTED_VALUE"""),"Slimedrop")</f>
        <v>Slimedrop</v>
      </c>
      <c r="H139" s="101" t="str">
        <f>IFERROR(__xludf.DUMMYFUNCTION("""COMPUTED_VALUE"""),"The Champs Sauvage")</f>
        <v>The Champs Sauvage</v>
      </c>
    </row>
    <row r="140">
      <c r="A140" s="92"/>
      <c r="B140" s="93" t="str">
        <f>IFERROR(__xludf.DUMMYFUNCTION("""COMPUTED_VALUE"""),"King Slime")</f>
        <v>King Slime</v>
      </c>
      <c r="C140" s="100" t="str">
        <f>IFERROR(__xludf.DUMMYFUNCTION("""COMPUTED_VALUE"""),"Slime")</f>
        <v>Slime</v>
      </c>
      <c r="D140" s="100">
        <f>IFERROR(__xludf.DUMMYFUNCTION("""COMPUTED_VALUE"""),678.0)</f>
        <v>678</v>
      </c>
      <c r="E140" s="100">
        <f>IFERROR(__xludf.DUMMYFUNCTION("""COMPUTED_VALUE"""),187.0)</f>
        <v>187</v>
      </c>
      <c r="F140" s="100" t="str">
        <f>IFERROR(__xludf.DUMMYFUNCTION("""COMPUTED_VALUE"""),"Slimedrop")</f>
        <v>Slimedrop</v>
      </c>
      <c r="G140" s="100" t="str">
        <f>IFERROR(__xludf.DUMMYFUNCTION("""COMPUTED_VALUE"""),"Slime Crown")</f>
        <v>Slime Crown</v>
      </c>
      <c r="H140" s="100" t="str">
        <f>IFERROR(__xludf.DUMMYFUNCTION("""COMPUTED_VALUE"""),"The Champs Sauvage")</f>
        <v>The Champs Sauvage</v>
      </c>
    </row>
    <row r="141">
      <c r="A141" s="95"/>
      <c r="B141" s="96" t="str">
        <f>IFERROR(__xludf.DUMMYFUNCTION("""COMPUTED_VALUE"""),"Metal Slime Knight")</f>
        <v>Metal Slime Knight</v>
      </c>
      <c r="C141" s="101" t="str">
        <f>IFERROR(__xludf.DUMMYFUNCTION("""COMPUTED_VALUE"""),"Slime")</f>
        <v>Slime</v>
      </c>
      <c r="D141" s="101">
        <f>IFERROR(__xludf.DUMMYFUNCTION("""COMPUTED_VALUE"""),256.0)</f>
        <v>256</v>
      </c>
      <c r="E141" s="101">
        <f>IFERROR(__xludf.DUMMYFUNCTION("""COMPUTED_VALUE"""),39.0)</f>
        <v>39</v>
      </c>
      <c r="F141" s="101" t="str">
        <f>IFERROR(__xludf.DUMMYFUNCTION("""COMPUTED_VALUE"""),"Light Shield")</f>
        <v>Light Shield</v>
      </c>
      <c r="G141" s="101" t="str">
        <f>IFERROR(__xludf.DUMMYFUNCTION("""COMPUTED_VALUE"""),"Densinium")</f>
        <v>Densinium</v>
      </c>
      <c r="H141" s="101" t="str">
        <f>IFERROR(__xludf.DUMMYFUNCTION("""COMPUTED_VALUE"""),"The Champs Sauvage")</f>
        <v>The Champs Sauvage</v>
      </c>
    </row>
    <row r="142">
      <c r="A142" s="92"/>
      <c r="B142" s="93" t="str">
        <f>IFERROR(__xludf.DUMMYFUNCTION("""COMPUTED_VALUE"""),"Dragurn")</f>
        <v>Dragurn</v>
      </c>
      <c r="C142" s="100" t="str">
        <f>IFERROR(__xludf.DUMMYFUNCTION("""COMPUTED_VALUE"""),"Dragon")</f>
        <v>Dragon</v>
      </c>
      <c r="D142" s="100">
        <f>IFERROR(__xludf.DUMMYFUNCTION("""COMPUTED_VALUE"""),214.0)</f>
        <v>214</v>
      </c>
      <c r="E142" s="100">
        <f>IFERROR(__xludf.DUMMYFUNCTION("""COMPUTED_VALUE"""),49.0)</f>
        <v>49</v>
      </c>
      <c r="F142" s="100" t="str">
        <f>IFERROR(__xludf.DUMMYFUNCTION("""COMPUTED_VALUE"""),"Dragon Hide")</f>
        <v>Dragon Hide</v>
      </c>
      <c r="G142" s="100" t="str">
        <f>IFERROR(__xludf.DUMMYFUNCTION("""COMPUTED_VALUE"""),"Dragon Scale")</f>
        <v>Dragon Scale</v>
      </c>
      <c r="H142" s="100" t="str">
        <f>IFERROR(__xludf.DUMMYFUNCTION("""COMPUTED_VALUE"""),"The Eerie Eyrie")</f>
        <v>The Eerie Eyrie</v>
      </c>
    </row>
    <row r="143">
      <c r="A143" s="95"/>
      <c r="B143" s="96" t="str">
        <f>IFERROR(__xludf.DUMMYFUNCTION("""COMPUTED_VALUE"""),"Very Devil")</f>
        <v>Very Devil</v>
      </c>
      <c r="C143" s="101" t="str">
        <f>IFERROR(__xludf.DUMMYFUNCTION("""COMPUTED_VALUE"""),"Demon")</f>
        <v>Demon</v>
      </c>
      <c r="D143" s="101">
        <f>IFERROR(__xludf.DUMMYFUNCTION("""COMPUTED_VALUE"""),160.0)</f>
        <v>160</v>
      </c>
      <c r="E143" s="101">
        <f>IFERROR(__xludf.DUMMYFUNCTION("""COMPUTED_VALUE"""),36.0)</f>
        <v>36</v>
      </c>
      <c r="F143" s="101" t="str">
        <f>IFERROR(__xludf.DUMMYFUNCTION("""COMPUTED_VALUE"""),"Magic Water")</f>
        <v>Magic Water</v>
      </c>
      <c r="G143" s="101" t="str">
        <f>IFERROR(__xludf.DUMMYFUNCTION("""COMPUTED_VALUE"""),"Enchanted Stone")</f>
        <v>Enchanted Stone</v>
      </c>
      <c r="H143" s="101" t="str">
        <f>IFERROR(__xludf.DUMMYFUNCTION("""COMPUTED_VALUE"""),"The Eerie Eyrie")</f>
        <v>The Eerie Eyrie</v>
      </c>
    </row>
    <row r="144">
      <c r="A144" s="92"/>
      <c r="B144" s="93" t="str">
        <f>IFERROR(__xludf.DUMMYFUNCTION("""COMPUTED_VALUE"""),"Hades Condor")</f>
        <v>Hades Condor</v>
      </c>
      <c r="C144" s="100" t="str">
        <f>IFERROR(__xludf.DUMMYFUNCTION("""COMPUTED_VALUE"""),"Bird")</f>
        <v>Bird</v>
      </c>
      <c r="D144" s="100">
        <f>IFERROR(__xludf.DUMMYFUNCTION("""COMPUTED_VALUE"""),203.0)</f>
        <v>203</v>
      </c>
      <c r="E144" s="100">
        <f>IFERROR(__xludf.DUMMYFUNCTION("""COMPUTED_VALUE"""),42.0)</f>
        <v>42</v>
      </c>
      <c r="F144" s="100" t="str">
        <f>IFERROR(__xludf.DUMMYFUNCTION("""COMPUTED_VALUE"""),"Iron Claws")</f>
        <v>Iron Claws</v>
      </c>
      <c r="G144" s="100" t="str">
        <f>IFERROR(__xludf.DUMMYFUNCTION("""COMPUTED_VALUE"""),"Eagle Dagger")</f>
        <v>Eagle Dagger</v>
      </c>
      <c r="H144" s="100" t="str">
        <f>IFERROR(__xludf.DUMMYFUNCTION("""COMPUTED_VALUE"""),"The Eerie Eyrie")</f>
        <v>The Eerie Eyrie</v>
      </c>
    </row>
    <row r="145">
      <c r="A145" s="95"/>
      <c r="B145" s="96" t="str">
        <f>IFERROR(__xludf.DUMMYFUNCTION("""COMPUTED_VALUE"""),"Rotten Eggsoskeleton")</f>
        <v>Rotten Eggsoskeleton</v>
      </c>
      <c r="C145" s="101" t="str">
        <f>IFERROR(__xludf.DUMMYFUNCTION("""COMPUTED_VALUE"""),"Machine")</f>
        <v>Machine</v>
      </c>
      <c r="D145" s="101">
        <f>IFERROR(__xludf.DUMMYFUNCTION("""COMPUTED_VALUE"""),161.0)</f>
        <v>161</v>
      </c>
      <c r="E145" s="101">
        <f>IFERROR(__xludf.DUMMYFUNCTION("""COMPUTED_VALUE"""),37.0)</f>
        <v>37</v>
      </c>
      <c r="F145" s="101" t="str">
        <f>IFERROR(__xludf.DUMMYFUNCTION("""COMPUTED_VALUE"""),"Pale Pearl")</f>
        <v>Pale Pearl</v>
      </c>
      <c r="G145" s="101" t="str">
        <f>IFERROR(__xludf.DUMMYFUNCTION("""COMPUTED_VALUE"""),"Green Eye")</f>
        <v>Green Eye</v>
      </c>
      <c r="H145" s="101"/>
    </row>
    <row r="146">
      <c r="A146" s="98"/>
      <c r="B146" s="93" t="str">
        <f>IFERROR(__xludf.DUMMYFUNCTION("""COMPUTED_VALUE"""),"Overtoad")</f>
        <v>Overtoad</v>
      </c>
      <c r="C146" s="100" t="str">
        <f>IFERROR(__xludf.DUMMYFUNCTION("""COMPUTED_VALUE"""),"Nature")</f>
        <v>Nature</v>
      </c>
      <c r="D146" s="100">
        <f>IFERROR(__xludf.DUMMYFUNCTION("""COMPUTED_VALUE"""),174.0)</f>
        <v>174</v>
      </c>
      <c r="E146" s="100">
        <f>IFERROR(__xludf.DUMMYFUNCTION("""COMPUTED_VALUE"""),46.0)</f>
        <v>46</v>
      </c>
      <c r="F146" s="100" t="str">
        <f>IFERROR(__xludf.DUMMYFUNCTION("""COMPUTED_VALUE"""),"Toad Oil")</f>
        <v>Toad Oil</v>
      </c>
      <c r="G146" s="100" t="str">
        <f>IFERROR(__xludf.DUMMYFUNCTION("""COMPUTED_VALUE"""),"Drasilian Sovereign")</f>
        <v>Drasilian Sovereign</v>
      </c>
      <c r="H146" s="100" t="str">
        <f>IFERROR(__xludf.DUMMYFUNCTION("""COMPUTED_VALUE"""),"The Eerie Eyrie")</f>
        <v>The Eerie Eyrie</v>
      </c>
    </row>
    <row r="147">
      <c r="A147" s="99" t="str">
        <f>IFERROR(__xludf.DUMMYFUNCTION("""COMPUTED_VALUE"""),"P8")</f>
        <v>P8</v>
      </c>
      <c r="B147" s="96" t="str">
        <f>IFERROR(__xludf.DUMMYFUNCTION("""COMPUTED_VALUE"""),"Demonrider")</f>
        <v>Demonrider</v>
      </c>
      <c r="C147" s="101" t="str">
        <f>IFERROR(__xludf.DUMMYFUNCTION("""COMPUTED_VALUE"""),"Undead")</f>
        <v>Undead</v>
      </c>
      <c r="D147" s="101">
        <f>IFERROR(__xludf.DUMMYFUNCTION("""COMPUTED_VALUE"""),158.0)</f>
        <v>158</v>
      </c>
      <c r="E147" s="101">
        <f>IFERROR(__xludf.DUMMYFUNCTION("""COMPUTED_VALUE"""),45.0)</f>
        <v>45</v>
      </c>
      <c r="F147" s="101" t="str">
        <f>IFERROR(__xludf.DUMMYFUNCTION("""COMPUTED_VALUE"""),"Beast Bone")</f>
        <v>Beast Bone</v>
      </c>
      <c r="G147" s="101" t="str">
        <f>IFERROR(__xludf.DUMMYFUNCTION("""COMPUTED_VALUE"""),"Magic Beast Horn")</f>
        <v>Magic Beast Horn</v>
      </c>
      <c r="H147" s="101" t="str">
        <f>IFERROR(__xludf.DUMMYFUNCTION("""COMPUTED_VALUE"""),"The Eerie Eyrie")</f>
        <v>The Eerie Eyrie</v>
      </c>
    </row>
    <row r="148">
      <c r="A148" s="92"/>
      <c r="B148" s="93" t="str">
        <f>IFERROR(__xludf.DUMMYFUNCTION("""COMPUTED_VALUE"""),"Elysium Bird")</f>
        <v>Elysium Bird</v>
      </c>
      <c r="C148" s="100" t="str">
        <f>IFERROR(__xludf.DUMMYFUNCTION("""COMPUTED_VALUE"""),"Bird")</f>
        <v>Bird</v>
      </c>
      <c r="D148" s="100">
        <f>IFERROR(__xludf.DUMMYFUNCTION("""COMPUTED_VALUE"""),1289.0)</f>
        <v>1289</v>
      </c>
      <c r="E148" s="100">
        <f>IFERROR(__xludf.DUMMYFUNCTION("""COMPUTED_VALUE"""),177.0)</f>
        <v>177</v>
      </c>
      <c r="F148" s="100" t="str">
        <f>IFERROR(__xludf.DUMMYFUNCTION("""COMPUTED_VALUE"""),"Eagle Dagger")</f>
        <v>Eagle Dagger</v>
      </c>
      <c r="G148" s="100" t="str">
        <f>IFERROR(__xludf.DUMMYFUNCTION("""COMPUTED_VALUE"""),"Ruby of Protection")</f>
        <v>Ruby of Protection</v>
      </c>
      <c r="H148" s="100" t="str">
        <f>IFERROR(__xludf.DUMMYFUNCTION("""COMPUTED_VALUE"""),"--")</f>
        <v>--</v>
      </c>
    </row>
    <row r="149">
      <c r="A149" s="95"/>
      <c r="B149" s="96" t="str">
        <f>IFERROR(__xludf.DUMMYFUNCTION("""COMPUTED_VALUE"""),"Zumeanie")</f>
        <v>Zumeanie</v>
      </c>
      <c r="C149" s="101" t="str">
        <f>IFERROR(__xludf.DUMMYFUNCTION("""COMPUTED_VALUE"""),"Nature")</f>
        <v>Nature</v>
      </c>
      <c r="D149" s="101">
        <f>IFERROR(__xludf.DUMMYFUNCTION("""COMPUTED_VALUE"""),183.0)</f>
        <v>183</v>
      </c>
      <c r="E149" s="101">
        <f>IFERROR(__xludf.DUMMYFUNCTION("""COMPUTED_VALUE"""),42.0)</f>
        <v>42</v>
      </c>
      <c r="F149" s="101" t="str">
        <f>IFERROR(__xludf.DUMMYFUNCTION("""COMPUTED_VALUE"""),"Strong Medicine")</f>
        <v>Strong Medicine</v>
      </c>
      <c r="G149" s="101" t="str">
        <f>IFERROR(__xludf.DUMMYFUNCTION("""COMPUTED_VALUE"""),"Bronze Lance")</f>
        <v>Bronze Lance</v>
      </c>
      <c r="H149" s="101" t="str">
        <f>IFERROR(__xludf.DUMMYFUNCTION("""COMPUTED_VALUE"""),"The Champs Sauvage")</f>
        <v>The Champs Sauvage</v>
      </c>
    </row>
    <row r="150">
      <c r="A150" s="92"/>
      <c r="B150" s="93" t="str">
        <f>IFERROR(__xludf.DUMMYFUNCTION("""COMPUTED_VALUE"""),"Pteranodon")</f>
        <v>Pteranodon</v>
      </c>
      <c r="C150" s="100" t="str">
        <f>IFERROR(__xludf.DUMMYFUNCTION("""COMPUTED_VALUE"""),"Bird")</f>
        <v>Bird</v>
      </c>
      <c r="D150" s="100">
        <f>IFERROR(__xludf.DUMMYFUNCTION("""COMPUTED_VALUE"""),192.0)</f>
        <v>192</v>
      </c>
      <c r="E150" s="100">
        <f>IFERROR(__xludf.DUMMYFUNCTION("""COMPUTED_VALUE"""),37.0)</f>
        <v>37</v>
      </c>
      <c r="F150" s="100" t="str">
        <f>IFERROR(__xludf.DUMMYFUNCTION("""COMPUTED_VALUE"""),"Twisted Talons")</f>
        <v>Twisted Talons</v>
      </c>
      <c r="G150" s="100" t="str">
        <f>IFERROR(__xludf.DUMMYFUNCTION("""COMPUTED_VALUE"""),"Seed of Deftness")</f>
        <v>Seed of Deftness</v>
      </c>
      <c r="H150" s="100"/>
    </row>
    <row r="151">
      <c r="A151" s="95"/>
      <c r="B151" s="96" t="str">
        <f>IFERROR(__xludf.DUMMYFUNCTION("""COMPUTED_VALUE"""),"Golem")</f>
        <v>Golem</v>
      </c>
      <c r="C151" s="101" t="str">
        <f>IFERROR(__xludf.DUMMYFUNCTION("""COMPUTED_VALUE"""),"Material")</f>
        <v>Material</v>
      </c>
      <c r="D151" s="101">
        <f>IFERROR(__xludf.DUMMYFUNCTION("""COMPUTED_VALUE"""),420.0)</f>
        <v>420</v>
      </c>
      <c r="E151" s="101">
        <f>IFERROR(__xludf.DUMMYFUNCTION("""COMPUTED_VALUE"""),48.0)</f>
        <v>48</v>
      </c>
      <c r="F151" s="101" t="str">
        <f>IFERROR(__xludf.DUMMYFUNCTION("""COMPUTED_VALUE"""),"Royal Soil")</f>
        <v>Royal Soil</v>
      </c>
      <c r="G151" s="101" t="str">
        <f>IFERROR(__xludf.DUMMYFUNCTION("""COMPUTED_VALUE"""),"Mythril Ore")</f>
        <v>Mythril Ore</v>
      </c>
      <c r="H151" s="101" t="str">
        <f>IFERROR(__xludf.DUMMYFUNCTION("""COMPUTED_VALUE"""),"The Champs Sauvage")</f>
        <v>The Champs Sauvage</v>
      </c>
    </row>
    <row r="152">
      <c r="A152" s="92"/>
      <c r="B152" s="93" t="str">
        <f>IFERROR(__xludf.DUMMYFUNCTION("""COMPUTED_VALUE"""),"Corpse Corporal")</f>
        <v>Corpse Corporal</v>
      </c>
      <c r="C152" s="100" t="str">
        <f>IFERROR(__xludf.DUMMYFUNCTION("""COMPUTED_VALUE"""),"Undead")</f>
        <v>Undead</v>
      </c>
      <c r="D152" s="100">
        <f>IFERROR(__xludf.DUMMYFUNCTION("""COMPUTED_VALUE"""),219.0)</f>
        <v>219</v>
      </c>
      <c r="E152" s="100">
        <f>IFERROR(__xludf.DUMMYFUNCTION("""COMPUTED_VALUE"""),60.0)</f>
        <v>60</v>
      </c>
      <c r="F152" s="100" t="str">
        <f>IFERROR(__xludf.DUMMYFUNCTION("""COMPUTED_VALUE"""),"Grubby Bandage")</f>
        <v>Grubby Bandage</v>
      </c>
      <c r="G152" s="100" t="str">
        <f>IFERROR(__xludf.DUMMYFUNCTION("""COMPUTED_VALUE"""),"Seed of Life")</f>
        <v>Seed of Life</v>
      </c>
      <c r="H152" s="100" t="str">
        <f>IFERROR(__xludf.DUMMYFUNCTION("""COMPUTED_VALUE"""),"The Champs Sauvage")</f>
        <v>The Champs Sauvage</v>
      </c>
    </row>
    <row r="153">
      <c r="A153" s="95"/>
      <c r="B153" s="96" t="str">
        <f>IFERROR(__xludf.DUMMYFUNCTION("""COMPUTED_VALUE"""),"Brollygagger")</f>
        <v>Brollygagger</v>
      </c>
      <c r="C153" s="96" t="str">
        <f>IFERROR(__xludf.DUMMYFUNCTION("""COMPUTED_VALUE"""),"Material")</f>
        <v>Material</v>
      </c>
      <c r="D153" s="96">
        <f>IFERROR(__xludf.DUMMYFUNCTION("""COMPUTED_VALUE"""),163.0)</f>
        <v>163</v>
      </c>
      <c r="E153" s="96">
        <f>IFERROR(__xludf.DUMMYFUNCTION("""COMPUTED_VALUE"""),39.0)</f>
        <v>39</v>
      </c>
      <c r="F153" s="96" t="str">
        <f>IFERROR(__xludf.DUMMYFUNCTION("""COMPUTED_VALUE"""),"Evencloth")</f>
        <v>Evencloth</v>
      </c>
      <c r="G153" s="96" t="str">
        <f>IFERROR(__xludf.DUMMYFUNCTION("""COMPUTED_VALUE"""),"Jolly Brolly")</f>
        <v>Jolly Brolly</v>
      </c>
      <c r="H153" s="96" t="str">
        <f>IFERROR(__xludf.DUMMYFUNCTION("""COMPUTED_VALUE"""),"The Champs Sauvage (Rain)")</f>
        <v>The Champs Sauvage (Rain)</v>
      </c>
    </row>
    <row r="154">
      <c r="A154" s="92"/>
      <c r="B154" s="102" t="str">
        <f>IFERROR(__xludf.DUMMYFUNCTION("""COMPUTED_VALUE"""),"Brollympian (Rarefied)")</f>
        <v>Brollympian (Rarefied)</v>
      </c>
      <c r="C154" s="93" t="str">
        <f>IFERROR(__xludf.DUMMYFUNCTION("""COMPUTED_VALUE"""),"Material")</f>
        <v>Material</v>
      </c>
      <c r="D154" s="93">
        <f>IFERROR(__xludf.DUMMYFUNCTION("""COMPUTED_VALUE"""),956.0)</f>
        <v>956</v>
      </c>
      <c r="E154" s="93">
        <f>IFERROR(__xludf.DUMMYFUNCTION("""COMPUTED_VALUE"""),240.0)</f>
        <v>240</v>
      </c>
      <c r="F154" s="93" t="str">
        <f>IFERROR(__xludf.DUMMYFUNCTION("""COMPUTED_VALUE"""),"Thunderball")</f>
        <v>Thunderball</v>
      </c>
      <c r="G154" s="93" t="str">
        <f>IFERROR(__xludf.DUMMYFUNCTION("""COMPUTED_VALUE"""),"Glumbrella")</f>
        <v>Glumbrella</v>
      </c>
      <c r="H154" s="93" t="str">
        <f>IFERROR(__xludf.DUMMYFUNCTION("""COMPUTED_VALUE"""),"Zwaardsrust Region, The Champs Sauvage (Rain), rare Brollygagger")</f>
        <v>Zwaardsrust Region, The Champs Sauvage (Rain), rare Brollygagger</v>
      </c>
    </row>
    <row r="155">
      <c r="A155" s="95"/>
      <c r="B155" s="96" t="str">
        <f>IFERROR(__xludf.DUMMYFUNCTION("""COMPUTED_VALUE"""),"Drohl Diabolist")</f>
        <v>Drohl Diabolist</v>
      </c>
      <c r="C155" s="101" t="str">
        <f>IFERROR(__xludf.DUMMYFUNCTION("""COMPUTED_VALUE"""),"Undead")</f>
        <v>Undead</v>
      </c>
      <c r="D155" s="101">
        <f>IFERROR(__xludf.DUMMYFUNCTION("""COMPUTED_VALUE"""),179.0)</f>
        <v>179</v>
      </c>
      <c r="E155" s="101">
        <f>IFERROR(__xludf.DUMMYFUNCTION("""COMPUTED_VALUE"""),51.0)</f>
        <v>51</v>
      </c>
      <c r="F155" s="101" t="str">
        <f>IFERROR(__xludf.DUMMYFUNCTION("""COMPUTED_VALUE"""),"Magic Water")</f>
        <v>Magic Water</v>
      </c>
      <c r="G155" s="101" t="str">
        <f>IFERROR(__xludf.DUMMYFUNCTION("""COMPUTED_VALUE"""),"Sage's Elixir")</f>
        <v>Sage's Elixir</v>
      </c>
      <c r="H155" s="101" t="str">
        <f>IFERROR(__xludf.DUMMYFUNCTION("""COMPUTED_VALUE"""),"The Champs Sauvage")</f>
        <v>The Champs Sauvage</v>
      </c>
    </row>
    <row r="156">
      <c r="A156" s="92"/>
      <c r="B156" s="93" t="str">
        <f>IFERROR(__xludf.DUMMYFUNCTION("""COMPUTED_VALUE"""),"Hypothermion")</f>
        <v>Hypothermion</v>
      </c>
      <c r="C156" s="100" t="str">
        <f>IFERROR(__xludf.DUMMYFUNCTION("""COMPUTED_VALUE"""),"Demon")</f>
        <v>Demon</v>
      </c>
      <c r="D156" s="100">
        <f>IFERROR(__xludf.DUMMYFUNCTION("""COMPUTED_VALUE"""),309.0)</f>
        <v>309</v>
      </c>
      <c r="E156" s="100">
        <f>IFERROR(__xludf.DUMMYFUNCTION("""COMPUTED_VALUE"""),60.0)</f>
        <v>60</v>
      </c>
      <c r="F156" s="100" t="str">
        <f>IFERROR(__xludf.DUMMYFUNCTION("""COMPUTED_VALUE"""),"Purple Eye")</f>
        <v>Purple Eye</v>
      </c>
      <c r="G156" s="100" t="str">
        <f>IFERROR(__xludf.DUMMYFUNCTION("""COMPUTED_VALUE"""),"Seed of Magic")</f>
        <v>Seed of Magic</v>
      </c>
      <c r="H156" s="100"/>
    </row>
    <row r="157">
      <c r="A157" s="95"/>
      <c r="B157" s="96" t="str">
        <f>IFERROR(__xludf.DUMMYFUNCTION("""COMPUTED_VALUE"""),"Jockilles")</f>
        <v>Jockilles</v>
      </c>
      <c r="C157" s="101" t="str">
        <f>IFERROR(__xludf.DUMMYFUNCTION("""COMPUTED_VALUE"""),"Demon")</f>
        <v>Demon</v>
      </c>
      <c r="D157" s="101">
        <f>IFERROR(__xludf.DUMMYFUNCTION("""COMPUTED_VALUE"""),678.0)</f>
        <v>678</v>
      </c>
      <c r="E157" s="101">
        <f>IFERROR(__xludf.DUMMYFUNCTION("""COMPUTED_VALUE"""),87.0)</f>
        <v>87</v>
      </c>
      <c r="F157" s="101" t="str">
        <f>IFERROR(__xludf.DUMMYFUNCTION("""COMPUTED_VALUE"""),"Finessence")</f>
        <v>Finessence</v>
      </c>
      <c r="G157" s="101" t="str">
        <f>IFERROR(__xludf.DUMMYFUNCTION("""COMPUTED_VALUE"""),"Seed of Defence")</f>
        <v>Seed of Defence</v>
      </c>
      <c r="H157" s="101"/>
    </row>
    <row r="158">
      <c r="A158" s="92"/>
      <c r="B158" s="93" t="str">
        <f>IFERROR(__xludf.DUMMYFUNCTION("""COMPUTED_VALUE"""),"Magic Marionette")</f>
        <v>Magic Marionette</v>
      </c>
      <c r="C158" s="100" t="str">
        <f>IFERROR(__xludf.DUMMYFUNCTION("""COMPUTED_VALUE"""),"Material")</f>
        <v>Material</v>
      </c>
      <c r="D158" s="100">
        <f>IFERROR(__xludf.DUMMYFUNCTION("""COMPUTED_VALUE"""),172.0)</f>
        <v>172</v>
      </c>
      <c r="E158" s="100">
        <f>IFERROR(__xludf.DUMMYFUNCTION("""COMPUTED_VALUE"""),39.0)</f>
        <v>39</v>
      </c>
      <c r="F158" s="100" t="str">
        <f>IFERROR(__xludf.DUMMYFUNCTION("""COMPUTED_VALUE"""),"Narspicious")</f>
        <v>Narspicious</v>
      </c>
      <c r="G158" s="100" t="str">
        <f>IFERROR(__xludf.DUMMYFUNCTION("""COMPUTED_VALUE"""),"Spellbound Bough")</f>
        <v>Spellbound Bough</v>
      </c>
      <c r="H158" s="100"/>
    </row>
    <row r="159">
      <c r="A159" s="95"/>
      <c r="B159" s="96" t="str">
        <f>IFERROR(__xludf.DUMMYFUNCTION("""COMPUTED_VALUE"""),"War Gryphon")</f>
        <v>War Gryphon</v>
      </c>
      <c r="C159" s="101" t="str">
        <f>IFERROR(__xludf.DUMMYFUNCTION("""COMPUTED_VALUE"""),"Bird")</f>
        <v>Bird</v>
      </c>
      <c r="D159" s="101">
        <f>IFERROR(__xludf.DUMMYFUNCTION("""COMPUTED_VALUE"""),224.0)</f>
        <v>224</v>
      </c>
      <c r="E159" s="101">
        <f>IFERROR(__xludf.DUMMYFUNCTION("""COMPUTED_VALUE"""),41.0)</f>
        <v>41</v>
      </c>
      <c r="F159" s="101" t="str">
        <f>IFERROR(__xludf.DUMMYFUNCTION("""COMPUTED_VALUE"""),"Flurry Feather")</f>
        <v>Flurry Feather</v>
      </c>
      <c r="G159" s="101" t="str">
        <f>IFERROR(__xludf.DUMMYFUNCTION("""COMPUTED_VALUE"""),"Twisted Talons")</f>
        <v>Twisted Talons</v>
      </c>
      <c r="H159" s="101" t="str">
        <f>IFERROR(__xludf.DUMMYFUNCTION("""COMPUTED_VALUE"""),"The Champs Sauvage")</f>
        <v>The Champs Sauvage</v>
      </c>
    </row>
    <row r="160">
      <c r="A160" s="92"/>
      <c r="B160" s="93" t="str">
        <f>IFERROR(__xludf.DUMMYFUNCTION("""COMPUTED_VALUE"""),"Colossal Cannibox")</f>
        <v>Colossal Cannibox</v>
      </c>
      <c r="C160" s="100" t="str">
        <f>IFERROR(__xludf.DUMMYFUNCTION("""COMPUTED_VALUE"""),"Material")</f>
        <v>Material</v>
      </c>
      <c r="D160" s="100">
        <f>IFERROR(__xludf.DUMMYFUNCTION("""COMPUTED_VALUE"""),1515.0)</f>
        <v>1515</v>
      </c>
      <c r="E160" s="100">
        <f>IFERROR(__xludf.DUMMYFUNCTION("""COMPUTED_VALUE"""),155.0)</f>
        <v>155</v>
      </c>
      <c r="F160" s="100" t="str">
        <f>IFERROR(__xludf.DUMMYFUNCTION("""COMPUTED_VALUE"""),"Drasilian Guinea")</f>
        <v>Drasilian Guinea</v>
      </c>
      <c r="G160" s="100" t="str">
        <f>IFERROR(__xludf.DUMMYFUNCTION("""COMPUTED_VALUE"""),"Drasilian Sovereign")</f>
        <v>Drasilian Sovereign</v>
      </c>
      <c r="H160" s="100"/>
    </row>
    <row r="161">
      <c r="A161" s="95"/>
      <c r="B161" s="96" t="str">
        <f>IFERROR(__xludf.DUMMYFUNCTION("""COMPUTED_VALUE"""),"Liquid Metal Slime")</f>
        <v>Liquid Metal Slime</v>
      </c>
      <c r="C161" s="101" t="str">
        <f>IFERROR(__xludf.DUMMYFUNCTION("""COMPUTED_VALUE"""),"Slime")</f>
        <v>Slime</v>
      </c>
      <c r="D161" s="101">
        <f>IFERROR(__xludf.DUMMYFUNCTION("""COMPUTED_VALUE"""),10050.0)</f>
        <v>10050</v>
      </c>
      <c r="E161" s="101">
        <f>IFERROR(__xludf.DUMMYFUNCTION("""COMPUTED_VALUE"""),40.0)</f>
        <v>40</v>
      </c>
      <c r="F161" s="101" t="str">
        <f>IFERROR(__xludf.DUMMYFUNCTION("""COMPUTED_VALUE"""),"Molten Globules")</f>
        <v>Molten Globules</v>
      </c>
      <c r="G161" s="101" t="str">
        <f>IFERROR(__xludf.DUMMYFUNCTION("""COMPUTED_VALUE"""),"Happy Hat")</f>
        <v>Happy Hat</v>
      </c>
      <c r="H161" s="101" t="str">
        <f>IFERROR(__xludf.DUMMYFUNCTION("""COMPUTED_VALUE"""),"Insula Orientalis, The Champs Sauvage")</f>
        <v>Insula Orientalis, The Champs Sauvage</v>
      </c>
    </row>
    <row r="162">
      <c r="A162" s="92"/>
      <c r="B162" s="93" t="str">
        <f>IFERROR(__xludf.DUMMYFUNCTION("""COMPUTED_VALUE"""),"Dora-In-Grey")</f>
        <v>Dora-In-Grey</v>
      </c>
      <c r="C162" s="100" t="str">
        <f>IFERROR(__xludf.DUMMYFUNCTION("""COMPUTED_VALUE"""),"Material")</f>
        <v>Material</v>
      </c>
      <c r="D162" s="100">
        <f>IFERROR(__xludf.DUMMYFUNCTION("""COMPUTED_VALUE"""),6700.0)</f>
        <v>6700</v>
      </c>
      <c r="E162" s="100">
        <f>IFERROR(__xludf.DUMMYFUNCTION("""COMPUTED_VALUE"""),5500.0)</f>
        <v>5500</v>
      </c>
      <c r="F162" s="100" t="str">
        <f>IFERROR(__xludf.DUMMYFUNCTION("""COMPUTED_VALUE"""),"--")</f>
        <v>--</v>
      </c>
      <c r="G162" s="100" t="str">
        <f>IFERROR(__xludf.DUMMYFUNCTION("""COMPUTED_VALUE"""),"--")</f>
        <v>--</v>
      </c>
      <c r="H162" s="100" t="str">
        <f>IFERROR(__xludf.DUMMYFUNCTION("""COMPUTED_VALUE"""),"--")</f>
        <v>--</v>
      </c>
    </row>
    <row r="163">
      <c r="A163" s="95"/>
      <c r="B163" s="96" t="str">
        <f>IFERROR(__xludf.DUMMYFUNCTION("""COMPUTED_VALUE"""),"Otter Shambles")</f>
        <v>Otter Shambles</v>
      </c>
      <c r="C163" s="101" t="str">
        <f>IFERROR(__xludf.DUMMYFUNCTION("""COMPUTED_VALUE"""),"Humanoid")</f>
        <v>Humanoid</v>
      </c>
      <c r="D163" s="101">
        <f>IFERROR(__xludf.DUMMYFUNCTION("""COMPUTED_VALUE"""),199.0)</f>
        <v>199</v>
      </c>
      <c r="E163" s="101">
        <f>IFERROR(__xludf.DUMMYFUNCTION("""COMPUTED_VALUE"""),58.0)</f>
        <v>58</v>
      </c>
      <c r="F163" s="101" t="str">
        <f>IFERROR(__xludf.DUMMYFUNCTION("""COMPUTED_VALUE"""),"Sun-Bleached Seashell")</f>
        <v>Sun-Bleached Seashell</v>
      </c>
      <c r="G163" s="101" t="str">
        <f>IFERROR(__xludf.DUMMYFUNCTION("""COMPUTED_VALUE"""),"Fur Poncho")</f>
        <v>Fur Poncho</v>
      </c>
      <c r="H163" s="101"/>
    </row>
    <row r="164">
      <c r="A164" s="92"/>
      <c r="B164" s="93" t="str">
        <f>IFERROR(__xludf.DUMMYFUNCTION("""COMPUTED_VALUE"""),"King Squid")</f>
        <v>King Squid</v>
      </c>
      <c r="C164" s="100" t="str">
        <f>IFERROR(__xludf.DUMMYFUNCTION("""COMPUTED_VALUE"""),"Nature")</f>
        <v>Nature</v>
      </c>
      <c r="D164" s="100">
        <f>IFERROR(__xludf.DUMMYFUNCTION("""COMPUTED_VALUE"""),960.0)</f>
        <v>960</v>
      </c>
      <c r="E164" s="100">
        <f>IFERROR(__xludf.DUMMYFUNCTION("""COMPUTED_VALUE"""),180.0)</f>
        <v>180</v>
      </c>
      <c r="F164" s="100" t="str">
        <f>IFERROR(__xludf.DUMMYFUNCTION("""COMPUTED_VALUE"""),"Water Sedge")</f>
        <v>Water Sedge</v>
      </c>
      <c r="G164" s="100" t="str">
        <f>IFERROR(__xludf.DUMMYFUNCTION("""COMPUTED_VALUE"""),"Pink Pearl")</f>
        <v>Pink Pearl</v>
      </c>
      <c r="H164" s="100"/>
    </row>
    <row r="165">
      <c r="A165" s="95"/>
      <c r="B165" s="96" t="str">
        <f>IFERROR(__xludf.DUMMYFUNCTION("""COMPUTED_VALUE"""),"Chillanodon")</f>
        <v>Chillanodon</v>
      </c>
      <c r="C165" s="101" t="str">
        <f>IFERROR(__xludf.DUMMYFUNCTION("""COMPUTED_VALUE"""),"Bird")</f>
        <v>Bird</v>
      </c>
      <c r="D165" s="101">
        <f>IFERROR(__xludf.DUMMYFUNCTION("""COMPUTED_VALUE"""),238.0)</f>
        <v>238</v>
      </c>
      <c r="E165" s="101">
        <f>IFERROR(__xludf.DUMMYFUNCTION("""COMPUTED_VALUE"""),44.0)</f>
        <v>44</v>
      </c>
      <c r="F165" s="101" t="str">
        <f>IFERROR(__xludf.DUMMYFUNCTION("""COMPUTED_VALUE"""),"Ice Crystal")</f>
        <v>Ice Crystal</v>
      </c>
      <c r="G165" s="101" t="str">
        <f>IFERROR(__xludf.DUMMYFUNCTION("""COMPUTED_VALUE"""),"Seed of Deftness")</f>
        <v>Seed of Deftness</v>
      </c>
      <c r="H165" s="101"/>
    </row>
    <row r="166">
      <c r="A166" s="98"/>
      <c r="B166" s="93" t="str">
        <f>IFERROR(__xludf.DUMMYFUNCTION("""COMPUTED_VALUE"""),"Grinade")</f>
        <v>Grinade</v>
      </c>
      <c r="C166" s="100" t="str">
        <f>IFERROR(__xludf.DUMMYFUNCTION("""COMPUTED_VALUE"""),"Material")</f>
        <v>Material</v>
      </c>
      <c r="D166" s="100">
        <f>IFERROR(__xludf.DUMMYFUNCTION("""COMPUTED_VALUE"""),314.0)</f>
        <v>314</v>
      </c>
      <c r="E166" s="100">
        <f>IFERROR(__xludf.DUMMYFUNCTION("""COMPUTED_VALUE"""),51.0)</f>
        <v>51</v>
      </c>
      <c r="F166" s="100" t="str">
        <f>IFERROR(__xludf.DUMMYFUNCTION("""COMPUTED_VALUE"""),"Mirrostone")</f>
        <v>Mirrostone</v>
      </c>
      <c r="G166" s="100" t="str">
        <f>IFERROR(__xludf.DUMMYFUNCTION("""COMPUTED_VALUE"""),"Silver Ore")</f>
        <v>Silver Ore</v>
      </c>
      <c r="H166" s="100"/>
    </row>
    <row r="167">
      <c r="A167" s="99" t="str">
        <f>IFERROR(__xludf.DUMMYFUNCTION("""COMPUTED_VALUE"""),"P9")</f>
        <v>P9</v>
      </c>
      <c r="B167" s="96" t="str">
        <f>IFERROR(__xludf.DUMMYFUNCTION("""COMPUTED_VALUE"""),"Mosstodon")</f>
        <v>Mosstodon</v>
      </c>
      <c r="C167" s="101" t="str">
        <f>IFERROR(__xludf.DUMMYFUNCTION("""COMPUTED_VALUE"""),"Material")</f>
        <v>Material</v>
      </c>
      <c r="D167" s="101">
        <f>IFERROR(__xludf.DUMMYFUNCTION("""COMPUTED_VALUE"""),568.0)</f>
        <v>568</v>
      </c>
      <c r="E167" s="101">
        <f>IFERROR(__xludf.DUMMYFUNCTION("""COMPUTED_VALUE"""),80.0)</f>
        <v>80</v>
      </c>
      <c r="F167" s="101" t="str">
        <f>IFERROR(__xludf.DUMMYFUNCTION("""COMPUTED_VALUE"""),"Green Eye")</f>
        <v>Green Eye</v>
      </c>
      <c r="G167" s="101" t="str">
        <f>IFERROR(__xludf.DUMMYFUNCTION("""COMPUTED_VALUE"""),"Seed of Defence")</f>
        <v>Seed of Defence</v>
      </c>
      <c r="H167" s="101"/>
    </row>
    <row r="168">
      <c r="A168" s="92"/>
      <c r="B168" s="93" t="str">
        <f>IFERROR(__xludf.DUMMYFUNCTION("""COMPUTED_VALUE"""),"Silver Sabrecub")</f>
        <v>Silver Sabrecub</v>
      </c>
      <c r="C168" s="100" t="str">
        <f>IFERROR(__xludf.DUMMYFUNCTION("""COMPUTED_VALUE"""),"Beast")</f>
        <v>Beast</v>
      </c>
      <c r="D168" s="100">
        <f>IFERROR(__xludf.DUMMYFUNCTION("""COMPUTED_VALUE"""),197.0)</f>
        <v>197</v>
      </c>
      <c r="E168" s="100">
        <f>IFERROR(__xludf.DUMMYFUNCTION("""COMPUTED_VALUE"""),41.0)</f>
        <v>41</v>
      </c>
      <c r="F168" s="100" t="str">
        <f>IFERROR(__xludf.DUMMYFUNCTION("""COMPUTED_VALUE"""),"Fine Fur")</f>
        <v>Fine Fur</v>
      </c>
      <c r="G168" s="100" t="str">
        <f>IFERROR(__xludf.DUMMYFUNCTION("""COMPUTED_VALUE"""),"Twisted Talons")</f>
        <v>Twisted Talons</v>
      </c>
      <c r="H168" s="100"/>
    </row>
    <row r="169">
      <c r="A169" s="95"/>
      <c r="B169" s="96" t="str">
        <f>IFERROR(__xludf.DUMMYFUNCTION("""COMPUTED_VALUE"""),"Luminous Lampling")</f>
        <v>Luminous Lampling</v>
      </c>
      <c r="C169" s="101" t="str">
        <f>IFERROR(__xludf.DUMMYFUNCTION("""COMPUTED_VALUE"""),"Material")</f>
        <v>Material</v>
      </c>
      <c r="D169" s="101">
        <f>IFERROR(__xludf.DUMMYFUNCTION("""COMPUTED_VALUE"""),246.0)</f>
        <v>246</v>
      </c>
      <c r="E169" s="101">
        <f>IFERROR(__xludf.DUMMYFUNCTION("""COMPUTED_VALUE"""),45.0)</f>
        <v>45</v>
      </c>
      <c r="F169" s="101" t="str">
        <f>IFERROR(__xludf.DUMMYFUNCTION("""COMPUTED_VALUE"""),"Lamplight")</f>
        <v>Lamplight</v>
      </c>
      <c r="G169" s="101" t="str">
        <f>IFERROR(__xludf.DUMMYFUNCTION("""COMPUTED_VALUE"""),"Brighten Rock")</f>
        <v>Brighten Rock</v>
      </c>
      <c r="H169" s="101"/>
    </row>
    <row r="170">
      <c r="A170" s="92"/>
      <c r="B170" s="93" t="str">
        <f>IFERROR(__xludf.DUMMYFUNCTION("""COMPUTED_VALUE"""),"Bongo Fandango")</f>
        <v>Bongo Fandango</v>
      </c>
      <c r="C170" s="100" t="str">
        <f>IFERROR(__xludf.DUMMYFUNCTION("""COMPUTED_VALUE"""),"Material")</f>
        <v>Material</v>
      </c>
      <c r="D170" s="100">
        <f>IFERROR(__xludf.DUMMYFUNCTION("""COMPUTED_VALUE"""),339.0)</f>
        <v>339</v>
      </c>
      <c r="E170" s="100">
        <f>IFERROR(__xludf.DUMMYFUNCTION("""COMPUTED_VALUE"""),58.0)</f>
        <v>58</v>
      </c>
      <c r="F170" s="100" t="str">
        <f>IFERROR(__xludf.DUMMYFUNCTION("""COMPUTED_VALUE"""),"Avabranche")</f>
        <v>Avabranche</v>
      </c>
      <c r="G170" s="100" t="str">
        <f>IFERROR(__xludf.DUMMYFUNCTION("""COMPUTED_VALUE"""),"Ice Crystal")</f>
        <v>Ice Crystal</v>
      </c>
      <c r="H170" s="100"/>
    </row>
    <row r="171">
      <c r="A171" s="95"/>
      <c r="B171" s="96" t="str">
        <f>IFERROR(__xludf.DUMMYFUNCTION("""COMPUTED_VALUE"""),"Chihuawyrm")</f>
        <v>Chihuawyrm</v>
      </c>
      <c r="C171" s="101" t="str">
        <f>IFERROR(__xludf.DUMMYFUNCTION("""COMPUTED_VALUE"""),"Dragon")</f>
        <v>Dragon</v>
      </c>
      <c r="D171" s="101">
        <f>IFERROR(__xludf.DUMMYFUNCTION("""COMPUTED_VALUE"""),902.0)</f>
        <v>902</v>
      </c>
      <c r="E171" s="101">
        <f>IFERROR(__xludf.DUMMYFUNCTION("""COMPUTED_VALUE"""),95.0)</f>
        <v>95</v>
      </c>
      <c r="F171" s="101" t="str">
        <f>IFERROR(__xludf.DUMMYFUNCTION("""COMPUTED_VALUE"""),"Fine Fur")</f>
        <v>Fine Fur</v>
      </c>
      <c r="G171" s="101" t="str">
        <f>IFERROR(__xludf.DUMMYFUNCTION("""COMPUTED_VALUE"""),"Dragon Horn")</f>
        <v>Dragon Horn</v>
      </c>
      <c r="H171" s="101"/>
    </row>
    <row r="172">
      <c r="A172" s="92"/>
      <c r="B172" s="93" t="str">
        <f>IFERROR(__xludf.DUMMYFUNCTION("""COMPUTED_VALUE"""),"Dragon Slime")</f>
        <v>Dragon Slime</v>
      </c>
      <c r="C172" s="100" t="str">
        <f>IFERROR(__xludf.DUMMYFUNCTION("""COMPUTED_VALUE"""),"Slime")</f>
        <v>Slime</v>
      </c>
      <c r="D172" s="100">
        <f>IFERROR(__xludf.DUMMYFUNCTION("""COMPUTED_VALUE"""),238.0)</f>
        <v>238</v>
      </c>
      <c r="E172" s="100">
        <f>IFERROR(__xludf.DUMMYFUNCTION("""COMPUTED_VALUE"""),44.0)</f>
        <v>44</v>
      </c>
      <c r="F172" s="100" t="str">
        <f>IFERROR(__xludf.DUMMYFUNCTION("""COMPUTED_VALUE"""),"Permasnow")</f>
        <v>Permasnow</v>
      </c>
      <c r="G172" s="100" t="str">
        <f>IFERROR(__xludf.DUMMYFUNCTION("""COMPUTED_VALUE"""),"Ice Crystal")</f>
        <v>Ice Crystal</v>
      </c>
      <c r="H172" s="100" t="str">
        <f>IFERROR(__xludf.DUMMYFUNCTION("""COMPUTED_VALUE"""),"The Royal Library")</f>
        <v>The Royal Library</v>
      </c>
    </row>
    <row r="173">
      <c r="A173" s="95"/>
      <c r="B173" s="96" t="str">
        <f>IFERROR(__xludf.DUMMYFUNCTION("""COMPUTED_VALUE"""),"Face Invader")</f>
        <v>Face Invader</v>
      </c>
      <c r="C173" s="101" t="str">
        <f>IFERROR(__xludf.DUMMYFUNCTION("""COMPUTED_VALUE"""),"Machine")</f>
        <v>Machine</v>
      </c>
      <c r="D173" s="101">
        <f>IFERROR(__xludf.DUMMYFUNCTION("""COMPUTED_VALUE"""),418.0)</f>
        <v>418</v>
      </c>
      <c r="E173" s="101">
        <f>IFERROR(__xludf.DUMMYFUNCTION("""COMPUTED_VALUE"""),55.0)</f>
        <v>55</v>
      </c>
      <c r="F173" s="101" t="str">
        <f>IFERROR(__xludf.DUMMYFUNCTION("""COMPUTED_VALUE"""),"Lava Lump")</f>
        <v>Lava Lump</v>
      </c>
      <c r="G173" s="101" t="str">
        <f>IFERROR(__xludf.DUMMYFUNCTION("""COMPUTED_VALUE"""),"Royal Ruby")</f>
        <v>Royal Ruby</v>
      </c>
      <c r="H173" s="101"/>
    </row>
    <row r="174">
      <c r="A174" s="92"/>
      <c r="B174" s="93" t="str">
        <f>IFERROR(__xludf.DUMMYFUNCTION("""COMPUTED_VALUE"""),"Crack-Billed Platypunk")</f>
        <v>Crack-Billed Platypunk</v>
      </c>
      <c r="C174" s="100" t="str">
        <f>IFERROR(__xludf.DUMMYFUNCTION("""COMPUTED_VALUE"""),"Beast")</f>
        <v>Beast</v>
      </c>
      <c r="D174" s="100">
        <f>IFERROR(__xludf.DUMMYFUNCTION("""COMPUTED_VALUE"""),216.0)</f>
        <v>216</v>
      </c>
      <c r="E174" s="100">
        <f>IFERROR(__xludf.DUMMYFUNCTION("""COMPUTED_VALUE"""),43.0)</f>
        <v>43</v>
      </c>
      <c r="F174" s="100" t="str">
        <f>IFERROR(__xludf.DUMMYFUNCTION("""COMPUTED_VALUE"""),"Fine Fur")</f>
        <v>Fine Fur</v>
      </c>
      <c r="G174" s="100" t="str">
        <f>IFERROR(__xludf.DUMMYFUNCTION("""COMPUTED_VALUE"""),"Hairy Vest")</f>
        <v>Hairy Vest</v>
      </c>
      <c r="H174" s="100" t="str">
        <f>IFERROR(__xludf.DUMMYFUNCTION("""COMPUTED_VALUE"""),"The Royal Library")</f>
        <v>The Royal Library</v>
      </c>
    </row>
    <row r="175">
      <c r="A175" s="95"/>
      <c r="B175" s="96" t="str">
        <f>IFERROR(__xludf.DUMMYFUNCTION("""COMPUTED_VALUE"""),"Hunter Mech")</f>
        <v>Hunter Mech</v>
      </c>
      <c r="C175" s="101" t="str">
        <f>IFERROR(__xludf.DUMMYFUNCTION("""COMPUTED_VALUE"""),"Machine")</f>
        <v>Machine</v>
      </c>
      <c r="D175" s="101">
        <f>IFERROR(__xludf.DUMMYFUNCTION("""COMPUTED_VALUE"""),314.0)</f>
        <v>314</v>
      </c>
      <c r="E175" s="101">
        <f>IFERROR(__xludf.DUMMYFUNCTION("""COMPUTED_VALUE"""),51.0)</f>
        <v>51</v>
      </c>
      <c r="F175" s="101" t="str">
        <f>IFERROR(__xludf.DUMMYFUNCTION("""COMPUTED_VALUE"""),"Silver Ore")</f>
        <v>Silver Ore</v>
      </c>
      <c r="G175" s="101" t="str">
        <f>IFERROR(__xludf.DUMMYFUNCTION("""COMPUTED_VALUE"""),"Molten Globules")</f>
        <v>Molten Globules</v>
      </c>
      <c r="H175" s="101"/>
    </row>
    <row r="176">
      <c r="A176" s="92"/>
      <c r="B176" s="93" t="str">
        <f>IFERROR(__xludf.DUMMYFUNCTION("""COMPUTED_VALUE"""),"Slimecicle")</f>
        <v>Slimecicle</v>
      </c>
      <c r="C176" s="100" t="str">
        <f>IFERROR(__xludf.DUMMYFUNCTION("""COMPUTED_VALUE"""),"Slime")</f>
        <v>Slime</v>
      </c>
      <c r="D176" s="100">
        <f>IFERROR(__xludf.DUMMYFUNCTION("""COMPUTED_VALUE"""),286.0)</f>
        <v>286</v>
      </c>
      <c r="E176" s="100">
        <f>IFERROR(__xludf.DUMMYFUNCTION("""COMPUTED_VALUE"""),49.0)</f>
        <v>49</v>
      </c>
      <c r="F176" s="100" t="str">
        <f>IFERROR(__xludf.DUMMYFUNCTION("""COMPUTED_VALUE"""),"Blue Eye")</f>
        <v>Blue Eye</v>
      </c>
      <c r="G176" s="100" t="str">
        <f>IFERROR(__xludf.DUMMYFUNCTION("""COMPUTED_VALUE"""),"Ice Crystal")</f>
        <v>Ice Crystal</v>
      </c>
      <c r="H176" s="100"/>
    </row>
    <row r="177">
      <c r="A177" s="95"/>
      <c r="B177" s="96" t="str">
        <f>IFERROR(__xludf.DUMMYFUNCTION("""COMPUTED_VALUE"""),"Shadow Minister")</f>
        <v>Shadow Minister</v>
      </c>
      <c r="C177" s="101" t="str">
        <f>IFERROR(__xludf.DUMMYFUNCTION("""COMPUTED_VALUE"""),"Elemental")</f>
        <v>Elemental</v>
      </c>
      <c r="D177" s="101">
        <f>IFERROR(__xludf.DUMMYFUNCTION("""COMPUTED_VALUE"""),229.0)</f>
        <v>229</v>
      </c>
      <c r="E177" s="101">
        <f>IFERROR(__xludf.DUMMYFUNCTION("""COMPUTED_VALUE"""),43.0)</f>
        <v>43</v>
      </c>
      <c r="F177" s="101" t="str">
        <f>IFERROR(__xludf.DUMMYFUNCTION("""COMPUTED_VALUE"""),"Purple Eye")</f>
        <v>Purple Eye</v>
      </c>
      <c r="G177" s="101" t="str">
        <f>IFERROR(__xludf.DUMMYFUNCTION("""COMPUTED_VALUE"""),"Thief's Turban")</f>
        <v>Thief's Turban</v>
      </c>
      <c r="H177" s="101"/>
    </row>
    <row r="178">
      <c r="A178" s="92"/>
      <c r="B178" s="93" t="str">
        <f>IFERROR(__xludf.DUMMYFUNCTION("""COMPUTED_VALUE"""),"Bodkin Bowyer")</f>
        <v>Bodkin Bowyer</v>
      </c>
      <c r="C178" s="100" t="str">
        <f>IFERROR(__xludf.DUMMYFUNCTION("""COMPUTED_VALUE"""),"Humanoid")</f>
        <v>Humanoid</v>
      </c>
      <c r="D178" s="100">
        <f>IFERROR(__xludf.DUMMYFUNCTION("""COMPUTED_VALUE"""),246.0)</f>
        <v>246</v>
      </c>
      <c r="E178" s="100">
        <f>IFERROR(__xludf.DUMMYFUNCTION("""COMPUTED_VALUE"""),45.0)</f>
        <v>45</v>
      </c>
      <c r="F178" s="100" t="str">
        <f>IFERROR(__xludf.DUMMYFUNCTION("""COMPUTED_VALUE"""),"Leather Hat")</f>
        <v>Leather Hat</v>
      </c>
      <c r="G178" s="100" t="str">
        <f>IFERROR(__xludf.DUMMYFUNCTION("""COMPUTED_VALUE"""),"Leather Cape")</f>
        <v>Leather Cape</v>
      </c>
      <c r="H178" s="100"/>
    </row>
    <row r="179">
      <c r="A179" s="95"/>
      <c r="B179" s="96" t="str">
        <f>IFERROR(__xludf.DUMMYFUNCTION("""COMPUTED_VALUE"""),"Drackyma")</f>
        <v>Drackyma</v>
      </c>
      <c r="C179" s="101" t="str">
        <f>IFERROR(__xludf.DUMMYFUNCTION("""COMPUTED_VALUE"""),"Bird")</f>
        <v>Bird</v>
      </c>
      <c r="D179" s="101">
        <f>IFERROR(__xludf.DUMMYFUNCTION("""COMPUTED_VALUE"""),277.0)</f>
        <v>277</v>
      </c>
      <c r="E179" s="101">
        <f>IFERROR(__xludf.DUMMYFUNCTION("""COMPUTED_VALUE"""),45.0)</f>
        <v>45</v>
      </c>
      <c r="F179" s="101" t="str">
        <f>IFERROR(__xludf.DUMMYFUNCTION("""COMPUTED_VALUE"""),"Wing of Bat")</f>
        <v>Wing of Bat</v>
      </c>
      <c r="G179" s="101" t="str">
        <f>IFERROR(__xludf.DUMMYFUNCTION("""COMPUTED_VALUE"""),"Gold Ring")</f>
        <v>Gold Ring</v>
      </c>
      <c r="H179" s="101"/>
    </row>
    <row r="180">
      <c r="A180" s="92"/>
      <c r="B180" s="93" t="str">
        <f>IFERROR(__xludf.DUMMYFUNCTION("""COMPUTED_VALUE"""),"Orc King")</f>
        <v>Orc King</v>
      </c>
      <c r="C180" s="100" t="str">
        <f>IFERROR(__xludf.DUMMYFUNCTION("""COMPUTED_VALUE"""),"Beast")</f>
        <v>Beast</v>
      </c>
      <c r="D180" s="100">
        <f>IFERROR(__xludf.DUMMYFUNCTION("""COMPUTED_VALUE"""),474.0)</f>
        <v>474</v>
      </c>
      <c r="E180" s="100">
        <f>IFERROR(__xludf.DUMMYFUNCTION("""COMPUTED_VALUE"""),57.0)</f>
        <v>57</v>
      </c>
      <c r="F180" s="100" t="str">
        <f>IFERROR(__xludf.DUMMYFUNCTION("""COMPUTED_VALUE"""),"Magic Beast Hide")</f>
        <v>Magic Beast Hide</v>
      </c>
      <c r="G180" s="100" t="str">
        <f>IFERROR(__xludf.DUMMYFUNCTION("""COMPUTED_VALUE"""),"Platinum Lance")</f>
        <v>Platinum Lance</v>
      </c>
      <c r="H180" s="100"/>
    </row>
    <row r="181">
      <c r="A181" s="95"/>
      <c r="B181" s="96" t="str">
        <f>IFERROR(__xludf.DUMMYFUNCTION("""COMPUTED_VALUE"""),"Jormun")</f>
        <v>Jormun</v>
      </c>
      <c r="C181" s="101" t="str">
        <f>IFERROR(__xludf.DUMMYFUNCTION("""COMPUTED_VALUE"""),"Beast")</f>
        <v>Beast</v>
      </c>
      <c r="D181" s="101">
        <f>IFERROR(__xludf.DUMMYFUNCTION("""COMPUTED_VALUE"""),2400.0)</f>
        <v>2400</v>
      </c>
      <c r="E181" s="101">
        <f>IFERROR(__xludf.DUMMYFUNCTION("""COMPUTED_VALUE"""),290.0)</f>
        <v>290</v>
      </c>
      <c r="F181" s="101" t="str">
        <f>IFERROR(__xludf.DUMMYFUNCTION("""COMPUTED_VALUE"""),"--")</f>
        <v>--</v>
      </c>
      <c r="G181" s="101" t="str">
        <f>IFERROR(__xludf.DUMMYFUNCTION("""COMPUTED_VALUE"""),"--")</f>
        <v>--</v>
      </c>
      <c r="H181" s="101" t="str">
        <f>IFERROR(__xludf.DUMMYFUNCTION("""COMPUTED_VALUE"""),"--")</f>
        <v>--</v>
      </c>
    </row>
    <row r="182">
      <c r="A182" s="92"/>
      <c r="B182" s="93" t="str">
        <f>IFERROR(__xludf.DUMMYFUNCTION("""COMPUTED_VALUE"""),"Hat Hamwitch")</f>
        <v>Hat Hamwitch</v>
      </c>
      <c r="C182" s="100" t="str">
        <f>IFERROR(__xludf.DUMMYFUNCTION("""COMPUTED_VALUE"""),"Material")</f>
        <v>Material</v>
      </c>
      <c r="D182" s="100">
        <f>IFERROR(__xludf.DUMMYFUNCTION("""COMPUTED_VALUE"""),277.0)</f>
        <v>277</v>
      </c>
      <c r="E182" s="100">
        <f>IFERROR(__xludf.DUMMYFUNCTION("""COMPUTED_VALUE"""),45.0)</f>
        <v>45</v>
      </c>
      <c r="F182" s="100" t="str">
        <f>IFERROR(__xludf.DUMMYFUNCTION("""COMPUTED_VALUE"""),"Magic Beast Hide")</f>
        <v>Magic Beast Hide</v>
      </c>
      <c r="G182" s="100" t="str">
        <f>IFERROR(__xludf.DUMMYFUNCTION("""COMPUTED_VALUE"""),"Magical Hat")</f>
        <v>Magical Hat</v>
      </c>
      <c r="H182" s="100"/>
    </row>
    <row r="183">
      <c r="A183" s="95"/>
      <c r="B183" s="96" t="str">
        <f>IFERROR(__xludf.DUMMYFUNCTION("""COMPUTED_VALUE"""),"Wrecktor")</f>
        <v>Wrecktor</v>
      </c>
      <c r="C183" s="101" t="str">
        <f>IFERROR(__xludf.DUMMYFUNCTION("""COMPUTED_VALUE"""),"Demon")</f>
        <v>Demon</v>
      </c>
      <c r="D183" s="101">
        <f>IFERROR(__xludf.DUMMYFUNCTION("""COMPUTED_VALUE"""),349.0)</f>
        <v>349</v>
      </c>
      <c r="E183" s="101">
        <f>IFERROR(__xludf.DUMMYFUNCTION("""COMPUTED_VALUE"""),64.0)</f>
        <v>64</v>
      </c>
      <c r="F183" s="101" t="str">
        <f>IFERROR(__xludf.DUMMYFUNCTION("""COMPUTED_VALUE"""),"Magic Water")</f>
        <v>Magic Water</v>
      </c>
      <c r="G183" s="101" t="str">
        <f>IFERROR(__xludf.DUMMYFUNCTION("""COMPUTED_VALUE"""),"Seed of Therapeusis")</f>
        <v>Seed of Therapeusis</v>
      </c>
      <c r="H183" s="101"/>
    </row>
    <row r="184">
      <c r="A184" s="92"/>
      <c r="B184" s="93" t="str">
        <f>IFERROR(__xludf.DUMMYFUNCTION("""COMPUTED_VALUE"""),"Professaurus")</f>
        <v>Professaurus</v>
      </c>
      <c r="C184" s="100" t="str">
        <f>IFERROR(__xludf.DUMMYFUNCTION("""COMPUTED_VALUE"""),"Dragon")</f>
        <v>Dragon</v>
      </c>
      <c r="D184" s="100">
        <f>IFERROR(__xludf.DUMMYFUNCTION("""COMPUTED_VALUE"""),820.0)</f>
        <v>820</v>
      </c>
      <c r="E184" s="100">
        <f>IFERROR(__xludf.DUMMYFUNCTION("""COMPUTED_VALUE"""),142.0)</f>
        <v>142</v>
      </c>
      <c r="F184" s="100" t="str">
        <f>IFERROR(__xludf.DUMMYFUNCTION("""COMPUTED_VALUE"""),"Lightning Staff")</f>
        <v>Lightning Staff</v>
      </c>
      <c r="G184" s="100" t="str">
        <f>IFERROR(__xludf.DUMMYFUNCTION("""COMPUTED_VALUE"""),"Seed of Sorcery")</f>
        <v>Seed of Sorcery</v>
      </c>
      <c r="H184" s="100" t="str">
        <f>IFERROR(__xludf.DUMMYFUNCTION("""COMPUTED_VALUE"""),"The Royal Library")</f>
        <v>The Royal Library</v>
      </c>
    </row>
    <row r="185">
      <c r="A185" s="95"/>
      <c r="B185" s="96" t="str">
        <f>IFERROR(__xludf.DUMMYFUNCTION("""COMPUTED_VALUE"""),"Living Statue")</f>
        <v>Living Statue</v>
      </c>
      <c r="C185" s="101" t="str">
        <f>IFERROR(__xludf.DUMMYFUNCTION("""COMPUTED_VALUE"""),"Material")</f>
        <v>Material</v>
      </c>
      <c r="D185" s="101">
        <f>IFERROR(__xludf.DUMMYFUNCTION("""COMPUTED_VALUE"""),746.0)</f>
        <v>746</v>
      </c>
      <c r="E185" s="101">
        <f>IFERROR(__xludf.DUMMYFUNCTION("""COMPUTED_VALUE"""),90.0)</f>
        <v>90</v>
      </c>
      <c r="F185" s="101" t="str">
        <f>IFERROR(__xludf.DUMMYFUNCTION("""COMPUTED_VALUE"""),"Flintstone")</f>
        <v>Flintstone</v>
      </c>
      <c r="G185" s="101" t="str">
        <f>IFERROR(__xludf.DUMMYFUNCTION("""COMPUTED_VALUE"""),"Dieamend")</f>
        <v>Dieamend</v>
      </c>
      <c r="H185" s="101"/>
    </row>
    <row r="186">
      <c r="A186" s="98"/>
      <c r="B186" s="93" t="str">
        <f>IFERROR(__xludf.DUMMYFUNCTION("""COMPUTED_VALUE"""),"Mimic")</f>
        <v>Mimic</v>
      </c>
      <c r="C186" s="100" t="str">
        <f>IFERROR(__xludf.DUMMYFUNCTION("""COMPUTED_VALUE"""),"Material")</f>
        <v>Material</v>
      </c>
      <c r="D186" s="100">
        <f>IFERROR(__xludf.DUMMYFUNCTION("""COMPUTED_VALUE"""),491.0)</f>
        <v>491</v>
      </c>
      <c r="E186" s="100">
        <f>IFERROR(__xludf.DUMMYFUNCTION("""COMPUTED_VALUE"""),53.0)</f>
        <v>53</v>
      </c>
      <c r="F186" s="100" t="str">
        <f>IFERROR(__xludf.DUMMYFUNCTION("""COMPUTED_VALUE"""),"Seed of Skill")</f>
        <v>Seed of Skill</v>
      </c>
      <c r="G186" s="100" t="str">
        <f>IFERROR(__xludf.DUMMYFUNCTION("""COMPUTED_VALUE"""),"--")</f>
        <v>--</v>
      </c>
      <c r="H186" s="100" t="str">
        <f>IFERROR(__xludf.DUMMYFUNCTION("""COMPUTED_VALUE"""),"--")</f>
        <v>--</v>
      </c>
    </row>
    <row r="187">
      <c r="A187" s="99" t="str">
        <f>IFERROR(__xludf.DUMMYFUNCTION("""COMPUTED_VALUE"""),"P10")</f>
        <v>P10</v>
      </c>
      <c r="B187" s="96" t="str">
        <f>IFERROR(__xludf.DUMMYFUNCTION("""COMPUTED_VALUE"""),"Krystalinda")</f>
        <v>Krystalinda</v>
      </c>
      <c r="C187" s="101" t="str">
        <f>IFERROR(__xludf.DUMMYFUNCTION("""COMPUTED_VALUE"""),"???")</f>
        <v>???</v>
      </c>
      <c r="D187" s="101">
        <f>IFERROR(__xludf.DUMMYFUNCTION("""COMPUTED_VALUE"""),8800.0)</f>
        <v>8800</v>
      </c>
      <c r="E187" s="101">
        <f>IFERROR(__xludf.DUMMYFUNCTION("""COMPUTED_VALUE"""),7000.0)</f>
        <v>7000</v>
      </c>
      <c r="F187" s="101" t="str">
        <f>IFERROR(__xludf.DUMMYFUNCTION("""COMPUTED_VALUE"""),"--")</f>
        <v>--</v>
      </c>
      <c r="G187" s="101" t="str">
        <f>IFERROR(__xludf.DUMMYFUNCTION("""COMPUTED_VALUE"""),"--")</f>
        <v>--</v>
      </c>
      <c r="H187" s="101" t="str">
        <f>IFERROR(__xludf.DUMMYFUNCTION("""COMPUTED_VALUE"""),"--")</f>
        <v>--</v>
      </c>
    </row>
    <row r="188">
      <c r="A188" s="92"/>
      <c r="B188" s="93" t="str">
        <f>IFERROR(__xludf.DUMMYFUNCTION("""COMPUTED_VALUE"""),"Whirly Girly")</f>
        <v>Whirly Girly</v>
      </c>
      <c r="C188" s="100" t="str">
        <f>IFERROR(__xludf.DUMMYFUNCTION("""COMPUTED_VALUE"""),"Elemental")</f>
        <v>Elemental</v>
      </c>
      <c r="D188" s="100">
        <f>IFERROR(__xludf.DUMMYFUNCTION("""COMPUTED_VALUE"""),288.0)</f>
        <v>288</v>
      </c>
      <c r="E188" s="100">
        <f>IFERROR(__xludf.DUMMYFUNCTION("""COMPUTED_VALUE"""),57.0)</f>
        <v>57</v>
      </c>
      <c r="F188" s="100" t="str">
        <f>IFERROR(__xludf.DUMMYFUNCTION("""COMPUTED_VALUE"""),"Hermes' Hat")</f>
        <v>Hermes' Hat</v>
      </c>
      <c r="G188" s="100" t="str">
        <f>IFERROR(__xludf.DUMMYFUNCTION("""COMPUTED_VALUE"""),"Pretty Betsy")</f>
        <v>Pretty Betsy</v>
      </c>
      <c r="H188" s="100"/>
    </row>
    <row r="189">
      <c r="A189" s="95"/>
      <c r="B189" s="96" t="str">
        <f>IFERROR(__xludf.DUMMYFUNCTION("""COMPUTED_VALUE"""),"Runny Eggsoskeleton")</f>
        <v>Runny Eggsoskeleton</v>
      </c>
      <c r="C189" s="101" t="str">
        <f>IFERROR(__xludf.DUMMYFUNCTION("""COMPUTED_VALUE"""),"Machine")</f>
        <v>Machine</v>
      </c>
      <c r="D189" s="101">
        <f>IFERROR(__xludf.DUMMYFUNCTION("""COMPUTED_VALUE"""),346.0)</f>
        <v>346</v>
      </c>
      <c r="E189" s="101">
        <f>IFERROR(__xludf.DUMMYFUNCTION("""COMPUTED_VALUE"""),63.0)</f>
        <v>63</v>
      </c>
      <c r="F189" s="101" t="str">
        <f>IFERROR(__xludf.DUMMYFUNCTION("""COMPUTED_VALUE"""),"Platinum Ore")</f>
        <v>Platinum Ore</v>
      </c>
      <c r="G189" s="101" t="str">
        <f>IFERROR(__xludf.DUMMYFUNCTION("""COMPUTED_VALUE"""),"Royal Ruby")</f>
        <v>Royal Ruby</v>
      </c>
      <c r="H189" s="101" t="str">
        <f>IFERROR(__xludf.DUMMYFUNCTION("""COMPUTED_VALUE"""),"The Arborian Highlands")</f>
        <v>The Arborian Highlands</v>
      </c>
    </row>
    <row r="190">
      <c r="A190" s="92"/>
      <c r="B190" s="93" t="str">
        <f>IFERROR(__xludf.DUMMYFUNCTION("""COMPUTED_VALUE"""),"Goobonce")</f>
        <v>Goobonce</v>
      </c>
      <c r="C190" s="100" t="str">
        <f>IFERROR(__xludf.DUMMYFUNCTION("""COMPUTED_VALUE"""),"Demon")</f>
        <v>Demon</v>
      </c>
      <c r="D190" s="100">
        <f>IFERROR(__xludf.DUMMYFUNCTION("""COMPUTED_VALUE"""),323.0)</f>
        <v>323</v>
      </c>
      <c r="E190" s="100">
        <f>IFERROR(__xludf.DUMMYFUNCTION("""COMPUTED_VALUE"""),62.0)</f>
        <v>62</v>
      </c>
      <c r="F190" s="100" t="str">
        <f>IFERROR(__xludf.DUMMYFUNCTION("""COMPUTED_VALUE"""),"Toad Oil")</f>
        <v>Toad Oil</v>
      </c>
      <c r="G190" s="100" t="str">
        <f>IFERROR(__xludf.DUMMYFUNCTION("""COMPUTED_VALUE"""),"Royal Ruby")</f>
        <v>Royal Ruby</v>
      </c>
      <c r="H190" s="100" t="str">
        <f>IFERROR(__xludf.DUMMYFUNCTION("""COMPUTED_VALUE"""),"The Arborian Highlands")</f>
        <v>The Arborian Highlands</v>
      </c>
    </row>
    <row r="191">
      <c r="A191" s="95"/>
      <c r="B191" s="96" t="str">
        <f>IFERROR(__xludf.DUMMYFUNCTION("""COMPUTED_VALUE"""),"Bloodbonnet")</f>
        <v>Bloodbonnet</v>
      </c>
      <c r="C191" s="101" t="str">
        <f>IFERROR(__xludf.DUMMYFUNCTION("""COMPUTED_VALUE"""),"Demon")</f>
        <v>Demon</v>
      </c>
      <c r="D191" s="101">
        <f>IFERROR(__xludf.DUMMYFUNCTION("""COMPUTED_VALUE"""),356.0)</f>
        <v>356</v>
      </c>
      <c r="E191" s="101">
        <f>IFERROR(__xludf.DUMMYFUNCTION("""COMPUTED_VALUE"""),63.0)</f>
        <v>63</v>
      </c>
      <c r="F191" s="101" t="str">
        <f>IFERROR(__xludf.DUMMYFUNCTION("""COMPUTED_VALUE"""),"Snakeskin")</f>
        <v>Snakeskin</v>
      </c>
      <c r="G191" s="101" t="str">
        <f>IFERROR(__xludf.DUMMYFUNCTION("""COMPUTED_VALUE"""),"Savvy Sapphire")</f>
        <v>Savvy Sapphire</v>
      </c>
      <c r="H191" s="101" t="str">
        <f>IFERROR(__xludf.DUMMYFUNCTION("""COMPUTED_VALUE"""),"The Arborian Highlands")</f>
        <v>The Arborian Highlands</v>
      </c>
    </row>
    <row r="192">
      <c r="A192" s="92"/>
      <c r="B192" s="93" t="str">
        <f>IFERROR(__xludf.DUMMYFUNCTION("""COMPUTED_VALUE"""),"Ethereal Serpent")</f>
        <v>Ethereal Serpent</v>
      </c>
      <c r="C192" s="100" t="str">
        <f>IFERROR(__xludf.DUMMYFUNCTION("""COMPUTED_VALUE"""),"Dragon")</f>
        <v>Dragon</v>
      </c>
      <c r="D192" s="100">
        <f>IFERROR(__xludf.DUMMYFUNCTION("""COMPUTED_VALUE"""),820.0)</f>
        <v>820</v>
      </c>
      <c r="E192" s="100">
        <f>IFERROR(__xludf.DUMMYFUNCTION("""COMPUTED_VALUE"""),112.0)</f>
        <v>112</v>
      </c>
      <c r="F192" s="100" t="str">
        <f>IFERROR(__xludf.DUMMYFUNCTION("""COMPUTED_VALUE"""),"Dragon Horn")</f>
        <v>Dragon Horn</v>
      </c>
      <c r="G192" s="100" t="str">
        <f>IFERROR(__xludf.DUMMYFUNCTION("""COMPUTED_VALUE"""),"Dragon Scale")</f>
        <v>Dragon Scale</v>
      </c>
      <c r="H192" s="100" t="str">
        <f>IFERROR(__xludf.DUMMYFUNCTION("""COMPUTED_VALUE"""),"The Arborian Highlands")</f>
        <v>The Arborian Highlands</v>
      </c>
    </row>
    <row r="193">
      <c r="A193" s="95"/>
      <c r="B193" s="96" t="str">
        <f>IFERROR(__xludf.DUMMYFUNCTION("""COMPUTED_VALUE"""),"Pine Needler")</f>
        <v>Pine Needler</v>
      </c>
      <c r="C193" s="101" t="str">
        <f>IFERROR(__xludf.DUMMYFUNCTION("""COMPUTED_VALUE"""),"Humanoid")</f>
        <v>Humanoid</v>
      </c>
      <c r="D193" s="101">
        <f>IFERROR(__xludf.DUMMYFUNCTION("""COMPUTED_VALUE"""),262.0)</f>
        <v>262</v>
      </c>
      <c r="E193" s="101">
        <f>IFERROR(__xludf.DUMMYFUNCTION("""COMPUTED_VALUE"""),55.0)</f>
        <v>55</v>
      </c>
      <c r="F193" s="101" t="str">
        <f>IFERROR(__xludf.DUMMYFUNCTION("""COMPUTED_VALUE"""),"Lambswool")</f>
        <v>Lambswool</v>
      </c>
      <c r="G193" s="101" t="str">
        <f>IFERROR(__xludf.DUMMYFUNCTION("""COMPUTED_VALUE"""),"Yggdrasil Leaf")</f>
        <v>Yggdrasil Leaf</v>
      </c>
      <c r="H193" s="101"/>
    </row>
    <row r="194">
      <c r="A194" s="92"/>
      <c r="B194" s="93" t="str">
        <f>IFERROR(__xludf.DUMMYFUNCTION("""COMPUTED_VALUE"""),"Moosifer")</f>
        <v>Moosifer</v>
      </c>
      <c r="C194" s="100" t="str">
        <f>IFERROR(__xludf.DUMMYFUNCTION("""COMPUTED_VALUE"""),"Demon")</f>
        <v>Demon</v>
      </c>
      <c r="D194" s="100">
        <f>IFERROR(__xludf.DUMMYFUNCTION("""COMPUTED_VALUE"""),388.0)</f>
        <v>388</v>
      </c>
      <c r="E194" s="100">
        <f>IFERROR(__xludf.DUMMYFUNCTION("""COMPUTED_VALUE"""),87.0)</f>
        <v>87</v>
      </c>
      <c r="F194" s="100" t="str">
        <f>IFERROR(__xludf.DUMMYFUNCTION("""COMPUTED_VALUE"""),"Magic Beast Horn")</f>
        <v>Magic Beast Horn</v>
      </c>
      <c r="G194" s="100" t="str">
        <f>IFERROR(__xludf.DUMMYFUNCTION("""COMPUTED_VALUE"""),"Seed of Life")</f>
        <v>Seed of Life</v>
      </c>
      <c r="H194" s="100"/>
    </row>
    <row r="195">
      <c r="A195" s="95"/>
      <c r="B195" s="96" t="str">
        <f>IFERROR(__xludf.DUMMYFUNCTION("""COMPUTED_VALUE"""),"Fruity Succubat")</f>
        <v>Fruity Succubat</v>
      </c>
      <c r="C195" s="101" t="str">
        <f>IFERROR(__xludf.DUMMYFUNCTION("""COMPUTED_VALUE"""),"Bird")</f>
        <v>Bird</v>
      </c>
      <c r="D195" s="101">
        <f>IFERROR(__xludf.DUMMYFUNCTION("""COMPUTED_VALUE"""),336.0)</f>
        <v>336</v>
      </c>
      <c r="E195" s="101">
        <f>IFERROR(__xludf.DUMMYFUNCTION("""COMPUTED_VALUE"""),58.0)</f>
        <v>58</v>
      </c>
      <c r="F195" s="101" t="str">
        <f>IFERROR(__xludf.DUMMYFUNCTION("""COMPUTED_VALUE"""),"Spellbound Bough")</f>
        <v>Spellbound Bough</v>
      </c>
      <c r="G195" s="101" t="str">
        <f>IFERROR(__xludf.DUMMYFUNCTION("""COMPUTED_VALUE"""),"Infernails")</f>
        <v>Infernails</v>
      </c>
      <c r="H195" s="101"/>
    </row>
    <row r="196">
      <c r="A196" s="92"/>
      <c r="B196" s="93" t="str">
        <f>IFERROR(__xludf.DUMMYFUNCTION("""COMPUTED_VALUE"""),"Stump Champ")</f>
        <v>Stump Champ</v>
      </c>
      <c r="C196" s="100" t="str">
        <f>IFERROR(__xludf.DUMMYFUNCTION("""COMPUTED_VALUE"""),"Nature")</f>
        <v>Nature</v>
      </c>
      <c r="D196" s="100">
        <f>IFERROR(__xludf.DUMMYFUNCTION("""COMPUTED_VALUE"""),431.0)</f>
        <v>431</v>
      </c>
      <c r="E196" s="100">
        <f>IFERROR(__xludf.DUMMYFUNCTION("""COMPUTED_VALUE"""),67.0)</f>
        <v>67</v>
      </c>
      <c r="F196" s="100" t="str">
        <f>IFERROR(__xludf.DUMMYFUNCTION("""COMPUTED_VALUE"""),"Spellbound Bough")</f>
        <v>Spellbound Bough</v>
      </c>
      <c r="G196" s="100" t="str">
        <f>IFERROR(__xludf.DUMMYFUNCTION("""COMPUTED_VALUE"""),"Yggdrasil Leaf")</f>
        <v>Yggdrasil Leaf</v>
      </c>
      <c r="H196" s="100"/>
    </row>
    <row r="197">
      <c r="A197" s="95"/>
      <c r="B197" s="96" t="str">
        <f>IFERROR(__xludf.DUMMYFUNCTION("""COMPUTED_VALUE"""),"Infanticore")</f>
        <v>Infanticore</v>
      </c>
      <c r="C197" s="101" t="str">
        <f>IFERROR(__xludf.DUMMYFUNCTION("""COMPUTED_VALUE"""),"Beast")</f>
        <v>Beast</v>
      </c>
      <c r="D197" s="101">
        <f>IFERROR(__xludf.DUMMYFUNCTION("""COMPUTED_VALUE"""),838.0)</f>
        <v>838</v>
      </c>
      <c r="E197" s="101">
        <f>IFERROR(__xludf.DUMMYFUNCTION("""COMPUTED_VALUE"""),184.0)</f>
        <v>184</v>
      </c>
      <c r="F197" s="101" t="str">
        <f>IFERROR(__xludf.DUMMYFUNCTION("""COMPUTED_VALUE"""),"Enchanted Stone")</f>
        <v>Enchanted Stone</v>
      </c>
      <c r="G197" s="101" t="str">
        <f>IFERROR(__xludf.DUMMYFUNCTION("""COMPUTED_VALUE"""),"Skull Ring")</f>
        <v>Skull Ring</v>
      </c>
      <c r="H197" s="101"/>
    </row>
    <row r="198">
      <c r="A198" s="92"/>
      <c r="B198" s="93" t="str">
        <f>IFERROR(__xludf.DUMMYFUNCTION("""COMPUTED_VALUE"""),"Sprite Bulb")</f>
        <v>Sprite Bulb</v>
      </c>
      <c r="C198" s="100" t="str">
        <f>IFERROR(__xludf.DUMMYFUNCTION("""COMPUTED_VALUE"""),"Slime")</f>
        <v>Slime</v>
      </c>
      <c r="D198" s="100">
        <f>IFERROR(__xludf.DUMMYFUNCTION("""COMPUTED_VALUE"""),317.0)</f>
        <v>317</v>
      </c>
      <c r="E198" s="100">
        <f>IFERROR(__xludf.DUMMYFUNCTION("""COMPUTED_VALUE"""),58.0)</f>
        <v>58</v>
      </c>
      <c r="F198" s="100" t="str">
        <f>IFERROR(__xludf.DUMMYFUNCTION("""COMPUTED_VALUE"""),"Superior Medicine")</f>
        <v>Superior Medicine</v>
      </c>
      <c r="G198" s="100" t="str">
        <f>IFERROR(__xludf.DUMMYFUNCTION("""COMPUTED_VALUE"""),"Wristorative")</f>
        <v>Wristorative</v>
      </c>
      <c r="H198" s="100"/>
    </row>
    <row r="199">
      <c r="A199" s="95"/>
      <c r="B199" s="103" t="str">
        <f>IFERROR(__xludf.DUMMYFUNCTION("""COMPUTED_VALUE"""),"Wight Bulb (Rarefied)")</f>
        <v>Wight Bulb (Rarefied)</v>
      </c>
      <c r="C199" s="96" t="str">
        <f>IFERROR(__xludf.DUMMYFUNCTION("""COMPUTED_VALUE"""),"Slime")</f>
        <v>Slime</v>
      </c>
      <c r="D199" s="96">
        <f>IFERROR(__xludf.DUMMYFUNCTION("""COMPUTED_VALUE"""),1864.0)</f>
        <v>1864</v>
      </c>
      <c r="E199" s="96">
        <f>IFERROR(__xludf.DUMMYFUNCTION("""COMPUTED_VALUE"""),361.0)</f>
        <v>361</v>
      </c>
      <c r="F199" s="96" t="str">
        <f>IFERROR(__xludf.DUMMYFUNCTION("""COMPUTED_VALUE"""),"Perfect Panacea")</f>
        <v>Perfect Panacea</v>
      </c>
      <c r="G199" s="96" t="str">
        <f>IFERROR(__xludf.DUMMYFUNCTION("""COMPUTED_VALUE"""),"Skull Ring")</f>
        <v>Skull Ring</v>
      </c>
      <c r="H199" s="96" t="str">
        <f>IFERROR(__xludf.DUMMYFUNCTION("""COMPUTED_VALUE"""),"Insula Orientalis, Sniflheim Region, rare Sprite Bulb")</f>
        <v>Insula Orientalis, Sniflheim Region, rare Sprite Bulb</v>
      </c>
    </row>
    <row r="200">
      <c r="A200" s="92"/>
      <c r="B200" s="93" t="str">
        <f>IFERROR(__xludf.DUMMYFUNCTION("""COMPUTED_VALUE"""),"Blue Dragon")</f>
        <v>Blue Dragon</v>
      </c>
      <c r="C200" s="100" t="str">
        <f>IFERROR(__xludf.DUMMYFUNCTION("""COMPUTED_VALUE"""),"Dragon")</f>
        <v>Dragon</v>
      </c>
      <c r="D200" s="100">
        <f>IFERROR(__xludf.DUMMYFUNCTION("""COMPUTED_VALUE"""),1201.0)</f>
        <v>1201</v>
      </c>
      <c r="E200" s="100">
        <f>IFERROR(__xludf.DUMMYFUNCTION("""COMPUTED_VALUE"""),124.0)</f>
        <v>124</v>
      </c>
      <c r="F200" s="100" t="str">
        <f>IFERROR(__xludf.DUMMYFUNCTION("""COMPUTED_VALUE"""),"Dragon Hide")</f>
        <v>Dragon Hide</v>
      </c>
      <c r="G200" s="100" t="str">
        <f>IFERROR(__xludf.DUMMYFUNCTION("""COMPUTED_VALUE"""),"Dragontail Whip")</f>
        <v>Dragontail Whip</v>
      </c>
      <c r="H200" s="100"/>
    </row>
    <row r="201">
      <c r="A201" s="95"/>
      <c r="B201" s="104" t="str">
        <f>IFERROR(__xludf.DUMMYFUNCTION("""COMPUTED_VALUE"""),"Part 2")</f>
        <v>Part 2</v>
      </c>
      <c r="C201" s="24"/>
      <c r="D201" s="24"/>
      <c r="E201" s="24"/>
      <c r="F201" s="24"/>
      <c r="G201" s="24"/>
      <c r="H201" s="25"/>
    </row>
    <row r="202">
      <c r="A202" s="92"/>
      <c r="B202" s="93" t="str">
        <f>IFERROR(__xludf.DUMMYFUNCTION("""COMPUTED_VALUE"""),"Vicious Khalamari Kid")</f>
        <v>Vicious Khalamari Kid</v>
      </c>
      <c r="C202" s="100" t="str">
        <f>IFERROR(__xludf.DUMMYFUNCTION("""COMPUTED_VALUE"""),"Nature")</f>
        <v>Nature</v>
      </c>
      <c r="D202" s="100">
        <f>IFERROR(__xludf.DUMMYFUNCTION("""COMPUTED_VALUE"""),945.0)</f>
        <v>945</v>
      </c>
      <c r="E202" s="100">
        <f>IFERROR(__xludf.DUMMYFUNCTION("""COMPUTED_VALUE"""),210.0)</f>
        <v>210</v>
      </c>
      <c r="F202" s="100" t="str">
        <f>IFERROR(__xludf.DUMMYFUNCTION("""COMPUTED_VALUE"""),"Sun-Bleached Seashell")</f>
        <v>Sun-Bleached Seashell</v>
      </c>
      <c r="G202" s="100" t="str">
        <f>IFERROR(__xludf.DUMMYFUNCTION("""COMPUTED_VALUE"""),"Pink Pearl")</f>
        <v>Pink Pearl</v>
      </c>
      <c r="H202" s="100" t="str">
        <f>IFERROR(__xludf.DUMMYFUNCTION("""COMPUTED_VALUE"""),"Disciple's Trial - Eerie Valley (Day)")</f>
        <v>Disciple's Trial - Eerie Valley (Day)</v>
      </c>
    </row>
    <row r="203">
      <c r="A203" s="95"/>
      <c r="B203" s="96" t="str">
        <f>IFERROR(__xludf.DUMMYFUNCTION("""COMPUTED_VALUE"""),"Vicious Slime")</f>
        <v>Vicious Slime</v>
      </c>
      <c r="C203" s="101" t="str">
        <f>IFERROR(__xludf.DUMMYFUNCTION("""COMPUTED_VALUE"""),"Slime")</f>
        <v>Slime</v>
      </c>
      <c r="D203" s="101">
        <f>IFERROR(__xludf.DUMMYFUNCTION("""COMPUTED_VALUE"""),461.0)</f>
        <v>461</v>
      </c>
      <c r="E203" s="101">
        <f>IFERROR(__xludf.DUMMYFUNCTION("""COMPUTED_VALUE"""),201.0)</f>
        <v>201</v>
      </c>
      <c r="F203" s="101" t="str">
        <f>IFERROR(__xludf.DUMMYFUNCTION("""COMPUTED_VALUE"""),"Strong Medicine")</f>
        <v>Strong Medicine</v>
      </c>
      <c r="G203" s="101" t="str">
        <f>IFERROR(__xludf.DUMMYFUNCTION("""COMPUTED_VALUE"""),"Slimedrop")</f>
        <v>Slimedrop</v>
      </c>
      <c r="H203" s="101"/>
    </row>
    <row r="204">
      <c r="A204" s="92"/>
      <c r="B204" s="93" t="str">
        <f>IFERROR(__xludf.DUMMYFUNCTION("""COMPUTED_VALUE"""),"Vicious Garuda")</f>
        <v>Vicious Garuda</v>
      </c>
      <c r="C204" s="100" t="str">
        <f>IFERROR(__xludf.DUMMYFUNCTION("""COMPUTED_VALUE"""),"Bird")</f>
        <v>Bird</v>
      </c>
      <c r="D204" s="100">
        <f>IFERROR(__xludf.DUMMYFUNCTION("""COMPUTED_VALUE"""),1438.0)</f>
        <v>1438</v>
      </c>
      <c r="E204" s="100">
        <f>IFERROR(__xludf.DUMMYFUNCTION("""COMPUTED_VALUE"""),240.0)</f>
        <v>240</v>
      </c>
      <c r="F204" s="100" t="str">
        <f>IFERROR(__xludf.DUMMYFUNCTION("""COMPUTED_VALUE"""),"Flurry Feather")</f>
        <v>Flurry Feather</v>
      </c>
      <c r="G204" s="100" t="str">
        <f>IFERROR(__xludf.DUMMYFUNCTION("""COMPUTED_VALUE"""),"Kite Claws")</f>
        <v>Kite Claws</v>
      </c>
      <c r="H204" s="100" t="str">
        <f>IFERROR(__xludf.DUMMYFUNCTION("""COMPUTED_VALUE"""),"Disciple's Trial - Eerie Valley")</f>
        <v>Disciple's Trial - Eerie Valley</v>
      </c>
    </row>
    <row r="205">
      <c r="A205" s="95"/>
      <c r="B205" s="96" t="str">
        <f>IFERROR(__xludf.DUMMYFUNCTION("""COMPUTED_VALUE"""),"Chasmonaut")</f>
        <v>Chasmonaut</v>
      </c>
      <c r="C205" s="101" t="str">
        <f>IFERROR(__xludf.DUMMYFUNCTION("""COMPUTED_VALUE"""),"Undead")</f>
        <v>Undead</v>
      </c>
      <c r="D205" s="101">
        <f>IFERROR(__xludf.DUMMYFUNCTION("""COMPUTED_VALUE"""),255.0)</f>
        <v>255</v>
      </c>
      <c r="E205" s="101">
        <f>IFERROR(__xludf.DUMMYFUNCTION("""COMPUTED_VALUE"""),64.0)</f>
        <v>64</v>
      </c>
      <c r="F205" s="101" t="str">
        <f>IFERROR(__xludf.DUMMYFUNCTION("""COMPUTED_VALUE"""),"Royal Ruby")</f>
        <v>Royal Ruby</v>
      </c>
      <c r="G205" s="101" t="str">
        <f>IFERROR(__xludf.DUMMYFUNCTION("""COMPUTED_VALUE"""),"Platinum Headgear")</f>
        <v>Platinum Headgear</v>
      </c>
      <c r="H205" s="101"/>
    </row>
    <row r="206">
      <c r="A206" s="92"/>
      <c r="B206" s="93" t="str">
        <f>IFERROR(__xludf.DUMMYFUNCTION("""COMPUTED_VALUE"""),"Vicious Dracky")</f>
        <v>Vicious Dracky</v>
      </c>
      <c r="C206" s="100" t="str">
        <f>IFERROR(__xludf.DUMMYFUNCTION("""COMPUTED_VALUE"""),"Bird")</f>
        <v>Bird</v>
      </c>
      <c r="D206" s="100">
        <f>IFERROR(__xludf.DUMMYFUNCTION("""COMPUTED_VALUE"""),1007.0)</f>
        <v>1007</v>
      </c>
      <c r="E206" s="100">
        <f>IFERROR(__xludf.DUMMYFUNCTION("""COMPUTED_VALUE"""),271.0)</f>
        <v>271</v>
      </c>
      <c r="F206" s="100" t="str">
        <f>IFERROR(__xludf.DUMMYFUNCTION("""COMPUTED_VALUE"""),"Strong Medicine")</f>
        <v>Strong Medicine</v>
      </c>
      <c r="G206" s="100" t="str">
        <f>IFERROR(__xludf.DUMMYFUNCTION("""COMPUTED_VALUE"""),"Chimaera Wing")</f>
        <v>Chimaera Wing</v>
      </c>
      <c r="H206" s="100" t="str">
        <f>IFERROR(__xludf.DUMMYFUNCTION("""COMPUTED_VALUE"""),"Disciple's Trial - Cruel Crypt (Day)")</f>
        <v>Disciple's Trial - Cruel Crypt (Day)</v>
      </c>
    </row>
    <row r="207">
      <c r="A207" s="105"/>
      <c r="B207" s="96" t="str">
        <f>IFERROR(__xludf.DUMMYFUNCTION("""COMPUTED_VALUE"""),"Ghoul")</f>
        <v>Ghoul</v>
      </c>
      <c r="C207" s="101" t="str">
        <f>IFERROR(__xludf.DUMMYFUNCTION("""COMPUTED_VALUE"""),"Undead")</f>
        <v>Undead</v>
      </c>
      <c r="D207" s="101">
        <f>IFERROR(__xludf.DUMMYFUNCTION("""COMPUTED_VALUE"""),219.0)</f>
        <v>219</v>
      </c>
      <c r="E207" s="101">
        <f>IFERROR(__xludf.DUMMYFUNCTION("""COMPUTED_VALUE"""),73.0)</f>
        <v>73</v>
      </c>
      <c r="F207" s="101" t="str">
        <f>IFERROR(__xludf.DUMMYFUNCTION("""COMPUTED_VALUE"""),"Drasilian Guinea")</f>
        <v>Drasilian Guinea</v>
      </c>
      <c r="G207" s="101" t="str">
        <f>IFERROR(__xludf.DUMMYFUNCTION("""COMPUTED_VALUE"""),"Tough Guy Tattoo")</f>
        <v>Tough Guy Tattoo</v>
      </c>
      <c r="H207" s="101"/>
    </row>
    <row r="208">
      <c r="A208" s="106" t="str">
        <f>IFERROR(__xludf.DUMMYFUNCTION("""COMPUTED_VALUE"""),"P11")</f>
        <v>P11</v>
      </c>
      <c r="B208" s="93" t="str">
        <f>IFERROR(__xludf.DUMMYFUNCTION("""COMPUTED_VALUE"""),"Skelegon")</f>
        <v>Skelegon</v>
      </c>
      <c r="C208" s="100" t="str">
        <f>IFERROR(__xludf.DUMMYFUNCTION("""COMPUTED_VALUE"""),"Dragon")</f>
        <v>Dragon</v>
      </c>
      <c r="D208" s="100">
        <f>IFERROR(__xludf.DUMMYFUNCTION("""COMPUTED_VALUE"""),352.0)</f>
        <v>352</v>
      </c>
      <c r="E208" s="100">
        <f>IFERROR(__xludf.DUMMYFUNCTION("""COMPUTED_VALUE"""),85.0)</f>
        <v>85</v>
      </c>
      <c r="F208" s="100" t="str">
        <f>IFERROR(__xludf.DUMMYFUNCTION("""COMPUTED_VALUE"""),"Dragon Horn")</f>
        <v>Dragon Horn</v>
      </c>
      <c r="G208" s="100" t="str">
        <f>IFERROR(__xludf.DUMMYFUNCTION("""COMPUTED_VALUE"""),"Big Bone")</f>
        <v>Big Bone</v>
      </c>
      <c r="H208" s="100"/>
    </row>
    <row r="209">
      <c r="A209" s="95"/>
      <c r="B209" s="96" t="str">
        <f>IFERROR(__xludf.DUMMYFUNCTION("""COMPUTED_VALUE"""),"Vicious Metal Slime")</f>
        <v>Vicious Metal Slime</v>
      </c>
      <c r="C209" s="101" t="str">
        <f>IFERROR(__xludf.DUMMYFUNCTION("""COMPUTED_VALUE"""),"Slime")</f>
        <v>Slime</v>
      </c>
      <c r="D209" s="101">
        <f>IFERROR(__xludf.DUMMYFUNCTION("""COMPUTED_VALUE"""),60160.0)</f>
        <v>60160</v>
      </c>
      <c r="E209" s="101">
        <f>IFERROR(__xludf.DUMMYFUNCTION("""COMPUTED_VALUE"""),442.0)</f>
        <v>442</v>
      </c>
      <c r="F209" s="101" t="str">
        <f>IFERROR(__xludf.DUMMYFUNCTION("""COMPUTED_VALUE"""),"Molten Globules")</f>
        <v>Molten Globules</v>
      </c>
      <c r="G209" s="101" t="str">
        <f>IFERROR(__xludf.DUMMYFUNCTION("""COMPUTED_VALUE"""),"Seed of Life")</f>
        <v>Seed of Life</v>
      </c>
      <c r="H209" s="101" t="str">
        <f>IFERROR(__xludf.DUMMYFUNCTION("""COMPUTED_VALUE"""),"Drustan's Labyrinth - Trial Isle")</f>
        <v>Drustan's Labyrinth - Trial Isle</v>
      </c>
    </row>
    <row r="210">
      <c r="A210" s="92"/>
      <c r="B210" s="93" t="str">
        <f>IFERROR(__xludf.DUMMYFUNCTION("""COMPUTED_VALUE"""),"Skeleton Swordsman")</f>
        <v>Skeleton Swordsman</v>
      </c>
      <c r="C210" s="100" t="str">
        <f>IFERROR(__xludf.DUMMYFUNCTION("""COMPUTED_VALUE"""),"Undead")</f>
        <v>Undead</v>
      </c>
      <c r="D210" s="100">
        <f>IFERROR(__xludf.DUMMYFUNCTION("""COMPUTED_VALUE"""),431.0)</f>
        <v>431</v>
      </c>
      <c r="E210" s="100">
        <f>IFERROR(__xludf.DUMMYFUNCTION("""COMPUTED_VALUE"""),67.0)</f>
        <v>67</v>
      </c>
      <c r="F210" s="100" t="str">
        <f>IFERROR(__xludf.DUMMYFUNCTION("""COMPUTED_VALUE"""),"Big Bone")</f>
        <v>Big Bone</v>
      </c>
      <c r="G210" s="100" t="str">
        <f>IFERROR(__xludf.DUMMYFUNCTION("""COMPUTED_VALUE"""),"Iron Headgear")</f>
        <v>Iron Headgear</v>
      </c>
      <c r="H210" s="100"/>
    </row>
    <row r="211">
      <c r="A211" s="95"/>
      <c r="B211" s="96" t="str">
        <f>IFERROR(__xludf.DUMMYFUNCTION("""COMPUTED_VALUE"""),"Vicious Shadow Minister")</f>
        <v>Vicious Shadow Minister</v>
      </c>
      <c r="C211" s="101" t="str">
        <f>IFERROR(__xludf.DUMMYFUNCTION("""COMPUTED_VALUE"""),"Undead")</f>
        <v>Undead</v>
      </c>
      <c r="D211" s="101">
        <f>IFERROR(__xludf.DUMMYFUNCTION("""COMPUTED_VALUE"""),1728.0)</f>
        <v>1728</v>
      </c>
      <c r="E211" s="101">
        <f>IFERROR(__xludf.DUMMYFUNCTION("""COMPUTED_VALUE"""),357.0)</f>
        <v>357</v>
      </c>
      <c r="F211" s="101" t="str">
        <f>IFERROR(__xludf.DUMMYFUNCTION("""COMPUTED_VALUE"""),"Grubby Bandage")</f>
        <v>Grubby Bandage</v>
      </c>
      <c r="G211" s="101" t="str">
        <f>IFERROR(__xludf.DUMMYFUNCTION("""COMPUTED_VALUE"""),"Staff of Antimagic")</f>
        <v>Staff of Antimagic</v>
      </c>
      <c r="H211" s="101" t="str">
        <f>IFERROR(__xludf.DUMMYFUNCTION("""COMPUTED_VALUE"""),"Sage's Trial - Hoarder's Keep (Night)")</f>
        <v>Sage's Trial - Hoarder's Keep (Night)</v>
      </c>
    </row>
    <row r="212">
      <c r="A212" s="92"/>
      <c r="B212" s="93" t="str">
        <f>IFERROR(__xludf.DUMMYFUNCTION("""COMPUTED_VALUE"""),"Vicious Grim Gryphon")</f>
        <v>Vicious Grim Gryphon</v>
      </c>
      <c r="C212" s="100" t="str">
        <f>IFERROR(__xludf.DUMMYFUNCTION("""COMPUTED_VALUE"""),"Bird")</f>
        <v>Bird</v>
      </c>
      <c r="D212" s="100">
        <f>IFERROR(__xludf.DUMMYFUNCTION("""COMPUTED_VALUE"""),1620.0)</f>
        <v>1620</v>
      </c>
      <c r="E212" s="100">
        <f>IFERROR(__xludf.DUMMYFUNCTION("""COMPUTED_VALUE"""),356.0)</f>
        <v>356</v>
      </c>
      <c r="F212" s="100" t="str">
        <f>IFERROR(__xludf.DUMMYFUNCTION("""COMPUTED_VALUE"""),"Twisted Talons")</f>
        <v>Twisted Talons</v>
      </c>
      <c r="G212" s="100" t="str">
        <f>IFERROR(__xludf.DUMMYFUNCTION("""COMPUTED_VALUE"""),"Drasilian Guinea")</f>
        <v>Drasilian Guinea</v>
      </c>
      <c r="H212" s="100" t="str">
        <f>IFERROR(__xludf.DUMMYFUNCTION("""COMPUTED_VALUE"""),"Disciple's Trial - Eerie Valley (Day)")</f>
        <v>Disciple's Trial - Eerie Valley (Day)</v>
      </c>
    </row>
    <row r="213">
      <c r="A213" s="95"/>
      <c r="B213" s="96" t="str">
        <f>IFERROR(__xludf.DUMMYFUNCTION("""COMPUTED_VALUE"""),"Vicious Bunicorn")</f>
        <v>Vicious Bunicorn</v>
      </c>
      <c r="C213" s="101" t="str">
        <f>IFERROR(__xludf.DUMMYFUNCTION("""COMPUTED_VALUE"""),"Beast")</f>
        <v>Beast</v>
      </c>
      <c r="D213" s="101">
        <f>IFERROR(__xludf.DUMMYFUNCTION("""COMPUTED_VALUE"""),1149.0)</f>
        <v>1149</v>
      </c>
      <c r="E213" s="101">
        <f>IFERROR(__xludf.DUMMYFUNCTION("""COMPUTED_VALUE"""),277.0)</f>
        <v>277</v>
      </c>
      <c r="F213" s="101" t="str">
        <f>IFERROR(__xludf.DUMMYFUNCTION("""COMPUTED_VALUE"""),"Leather Hat")</f>
        <v>Leather Hat</v>
      </c>
      <c r="G213" s="101" t="str">
        <f>IFERROR(__xludf.DUMMYFUNCTION("""COMPUTED_VALUE"""),"Bunny Tail")</f>
        <v>Bunny Tail</v>
      </c>
      <c r="H213" s="101" t="str">
        <f>IFERROR(__xludf.DUMMYFUNCTION("""COMPUTED_VALUE"""),"Disciple's Trial - Eerie Valley (Day)")</f>
        <v>Disciple's Trial - Eerie Valley (Day)</v>
      </c>
    </row>
    <row r="214">
      <c r="A214" s="92"/>
      <c r="B214" s="93" t="str">
        <f>IFERROR(__xludf.DUMMYFUNCTION("""COMPUTED_VALUE"""),"Infernal Armour")</f>
        <v>Infernal Armour</v>
      </c>
      <c r="C214" s="100" t="str">
        <f>IFERROR(__xludf.DUMMYFUNCTION("""COMPUTED_VALUE"""),"Material")</f>
        <v>Material</v>
      </c>
      <c r="D214" s="100">
        <f>IFERROR(__xludf.DUMMYFUNCTION("""COMPUTED_VALUE"""),557.0)</f>
        <v>557</v>
      </c>
      <c r="E214" s="100">
        <f>IFERROR(__xludf.DUMMYFUNCTION("""COMPUTED_VALUE"""),73.0)</f>
        <v>73</v>
      </c>
      <c r="F214" s="100" t="str">
        <f>IFERROR(__xludf.DUMMYFUNCTION("""COMPUTED_VALUE"""),"Cautery Sword")</f>
        <v>Cautery Sword</v>
      </c>
      <c r="G214" s="100" t="str">
        <f>IFERROR(__xludf.DUMMYFUNCTION("""COMPUTED_VALUE"""),"Silver Mail")</f>
        <v>Silver Mail</v>
      </c>
      <c r="H214" s="100"/>
    </row>
    <row r="215">
      <c r="A215" s="95"/>
      <c r="B215" s="96" t="str">
        <f>IFERROR(__xludf.DUMMYFUNCTION("""COMPUTED_VALUE"""),"Flamethrower")</f>
        <v>Flamethrower</v>
      </c>
      <c r="C215" s="101" t="str">
        <f>IFERROR(__xludf.DUMMYFUNCTION("""COMPUTED_VALUE"""),"Elemental")</f>
        <v>Elemental</v>
      </c>
      <c r="D215" s="101">
        <f>IFERROR(__xludf.DUMMYFUNCTION("""COMPUTED_VALUE"""),305.0)</f>
        <v>305</v>
      </c>
      <c r="E215" s="101">
        <f>IFERROR(__xludf.DUMMYFUNCTION("""COMPUTED_VALUE"""),57.0)</f>
        <v>57</v>
      </c>
      <c r="F215" s="101" t="str">
        <f>IFERROR(__xludf.DUMMYFUNCTION("""COMPUTED_VALUE"""),"Fire Wood")</f>
        <v>Fire Wood</v>
      </c>
      <c r="G215" s="101" t="str">
        <f>IFERROR(__xludf.DUMMYFUNCTION("""COMPUTED_VALUE"""),"Royal Ruby")</f>
        <v>Royal Ruby</v>
      </c>
      <c r="H215" s="101"/>
    </row>
    <row r="216">
      <c r="A216" s="92"/>
      <c r="B216" s="93" t="str">
        <f>IFERROR(__xludf.DUMMYFUNCTION("""COMPUTED_VALUE"""),"Rantingen Raven")</f>
        <v>Rantingen Raven</v>
      </c>
      <c r="C216" s="100" t="str">
        <f>IFERROR(__xludf.DUMMYFUNCTION("""COMPUTED_VALUE"""),"Bird")</f>
        <v>Bird</v>
      </c>
      <c r="D216" s="100">
        <f>IFERROR(__xludf.DUMMYFUNCTION("""COMPUTED_VALUE"""),308.0)</f>
        <v>308</v>
      </c>
      <c r="E216" s="100">
        <f>IFERROR(__xludf.DUMMYFUNCTION("""COMPUTED_VALUE"""),68.0)</f>
        <v>68</v>
      </c>
      <c r="F216" s="100" t="str">
        <f>IFERROR(__xludf.DUMMYFUNCTION("""COMPUTED_VALUE"""),"Dragon Horn")</f>
        <v>Dragon Horn</v>
      </c>
      <c r="G216" s="100" t="str">
        <f>IFERROR(__xludf.DUMMYFUNCTION("""COMPUTED_VALUE"""),"Big Bone")</f>
        <v>Big Bone</v>
      </c>
      <c r="H216" s="100"/>
    </row>
    <row r="217">
      <c r="A217" s="95"/>
      <c r="B217" s="96" t="str">
        <f>IFERROR(__xludf.DUMMYFUNCTION("""COMPUTED_VALUE"""),"Vicious Fright Bulb")</f>
        <v>Vicious Fright Bulb</v>
      </c>
      <c r="C217" s="101" t="str">
        <f>IFERROR(__xludf.DUMMYFUNCTION("""COMPUTED_VALUE"""),"Slime")</f>
        <v>Slime</v>
      </c>
      <c r="D217" s="101">
        <f>IFERROR(__xludf.DUMMYFUNCTION("""COMPUTED_VALUE"""),1181.0)</f>
        <v>1181</v>
      </c>
      <c r="E217" s="101">
        <f>IFERROR(__xludf.DUMMYFUNCTION("""COMPUTED_VALUE"""),279.0)</f>
        <v>279</v>
      </c>
      <c r="F217" s="101" t="str">
        <f>IFERROR(__xludf.DUMMYFUNCTION("""COMPUTED_VALUE"""),"Strong Medicine")</f>
        <v>Strong Medicine</v>
      </c>
      <c r="G217" s="101" t="str">
        <f>IFERROR(__xludf.DUMMYFUNCTION("""COMPUTED_VALUE"""),"Wakerobin")</f>
        <v>Wakerobin</v>
      </c>
      <c r="H217" s="101" t="str">
        <f>IFERROR(__xludf.DUMMYFUNCTION("""COMPUTED_VALUE"""),"Sage's Trial - Fierce Forest")</f>
        <v>Sage's Trial - Fierce Forest</v>
      </c>
    </row>
    <row r="218">
      <c r="A218" s="92"/>
      <c r="B218" s="93" t="str">
        <f>IFERROR(__xludf.DUMMYFUNCTION("""COMPUTED_VALUE"""),"Headless Honcho")</f>
        <v>Headless Honcho</v>
      </c>
      <c r="C218" s="100" t="str">
        <f>IFERROR(__xludf.DUMMYFUNCTION("""COMPUTED_VALUE"""),"Undead")</f>
        <v>Undead</v>
      </c>
      <c r="D218" s="100">
        <f>IFERROR(__xludf.DUMMYFUNCTION("""COMPUTED_VALUE"""),3300.0)</f>
        <v>3300</v>
      </c>
      <c r="E218" s="100">
        <f>IFERROR(__xludf.DUMMYFUNCTION("""COMPUTED_VALUE"""),2500.0)</f>
        <v>2500</v>
      </c>
      <c r="F218" s="100" t="str">
        <f>IFERROR(__xludf.DUMMYFUNCTION("""COMPUTED_VALUE"""),"--")</f>
        <v>--</v>
      </c>
      <c r="G218" s="100" t="str">
        <f>IFERROR(__xludf.DUMMYFUNCTION("""COMPUTED_VALUE"""),"--")</f>
        <v>--</v>
      </c>
      <c r="H218" s="100" t="str">
        <f>IFERROR(__xludf.DUMMYFUNCTION("""COMPUTED_VALUE"""),"--")</f>
        <v>--</v>
      </c>
    </row>
    <row r="219">
      <c r="A219" s="95"/>
      <c r="B219" s="96" t="str">
        <f>IFERROR(__xludf.DUMMYFUNCTION("""COMPUTED_VALUE"""),"Vicious Sham Hatwitch")</f>
        <v>Vicious Sham Hatwitch</v>
      </c>
      <c r="C219" s="101" t="str">
        <f>IFERROR(__xludf.DUMMYFUNCTION("""COMPUTED_VALUE"""),"Beast")</f>
        <v>Beast</v>
      </c>
      <c r="D219" s="101">
        <f>IFERROR(__xludf.DUMMYFUNCTION("""COMPUTED_VALUE"""),1232.0)</f>
        <v>1232</v>
      </c>
      <c r="E219" s="101">
        <f>IFERROR(__xludf.DUMMYFUNCTION("""COMPUTED_VALUE"""),271.0)</f>
        <v>271</v>
      </c>
      <c r="F219" s="101" t="str">
        <f>IFERROR(__xludf.DUMMYFUNCTION("""COMPUTED_VALUE"""),"Hardy Hide")</f>
        <v>Hardy Hide</v>
      </c>
      <c r="G219" s="101" t="str">
        <f>IFERROR(__xludf.DUMMYFUNCTION("""COMPUTED_VALUE"""),"Magic Water")</f>
        <v>Magic Water</v>
      </c>
      <c r="H219" s="101" t="str">
        <f>IFERROR(__xludf.DUMMYFUNCTION("""COMPUTED_VALUE"""),"Sage's Trial - Hoarder's Keep (Day)")</f>
        <v>Sage's Trial - Hoarder's Keep (Day)</v>
      </c>
    </row>
    <row r="220">
      <c r="A220" s="92"/>
      <c r="B220" s="93" t="str">
        <f>IFERROR(__xludf.DUMMYFUNCTION("""COMPUTED_VALUE"""),"Vicious Leafy Lamlpling")</f>
        <v>Vicious Leafy Lamlpling</v>
      </c>
      <c r="C220" s="100" t="str">
        <f>IFERROR(__xludf.DUMMYFUNCTION("""COMPUTED_VALUE"""),"Material")</f>
        <v>Material</v>
      </c>
      <c r="D220" s="100">
        <f>IFERROR(__xludf.DUMMYFUNCTION("""COMPUTED_VALUE"""),1310.0)</f>
        <v>1310</v>
      </c>
      <c r="E220" s="100">
        <f>IFERROR(__xludf.DUMMYFUNCTION("""COMPUTED_VALUE"""),344.0)</f>
        <v>344</v>
      </c>
      <c r="F220" s="100" t="str">
        <f>IFERROR(__xludf.DUMMYFUNCTION("""COMPUTED_VALUE"""),"Copper Ore")</f>
        <v>Copper Ore</v>
      </c>
      <c r="G220" s="100" t="str">
        <f>IFERROR(__xludf.DUMMYFUNCTION("""COMPUTED_VALUE"""),"Lamplight")</f>
        <v>Lamplight</v>
      </c>
      <c r="H220" s="100" t="str">
        <f>IFERROR(__xludf.DUMMYFUNCTION("""COMPUTED_VALUE"""),"Sage's Trial - Fierce Forest (Night)")</f>
        <v>Sage's Trial - Fierce Forest (Night)</v>
      </c>
    </row>
    <row r="221">
      <c r="A221" s="95"/>
      <c r="B221" s="96" t="str">
        <f>IFERROR(__xludf.DUMMYFUNCTION("""COMPUTED_VALUE"""),"Vicious Bubble Slime")</f>
        <v>Vicious Bubble Slime</v>
      </c>
      <c r="C221" s="101" t="str">
        <f>IFERROR(__xludf.DUMMYFUNCTION("""COMPUTED_VALUE"""),"Slime")</f>
        <v>Slime</v>
      </c>
      <c r="D221" s="101">
        <f>IFERROR(__xludf.DUMMYFUNCTION("""COMPUTED_VALUE"""),1045.0)</f>
        <v>1045</v>
      </c>
      <c r="E221" s="101">
        <f>IFERROR(__xludf.DUMMYFUNCTION("""COMPUTED_VALUE"""),248.0)</f>
        <v>248</v>
      </c>
      <c r="F221" s="101" t="str">
        <f>IFERROR(__xludf.DUMMYFUNCTION("""COMPUTED_VALUE"""),"Strong Antidote")</f>
        <v>Strong Antidote</v>
      </c>
      <c r="G221" s="101" t="str">
        <f>IFERROR(__xludf.DUMMYFUNCTION("""COMPUTED_VALUE"""),"Slimedrop")</f>
        <v>Slimedrop</v>
      </c>
      <c r="H221" s="101" t="str">
        <f>IFERROR(__xludf.DUMMYFUNCTION("""COMPUTED_VALUE"""),"Disciple's Trial - Cruel Crypt (Day)")</f>
        <v>Disciple's Trial - Cruel Crypt (Day)</v>
      </c>
    </row>
    <row r="222">
      <c r="A222" s="92"/>
      <c r="B222" s="93" t="str">
        <f>IFERROR(__xludf.DUMMYFUNCTION("""COMPUTED_VALUE"""),"Vicious Funghoul")</f>
        <v>Vicious Funghoul</v>
      </c>
      <c r="C222" s="100" t="str">
        <f>IFERROR(__xludf.DUMMYFUNCTION("""COMPUTED_VALUE"""),"Nature")</f>
        <v>Nature</v>
      </c>
      <c r="D222" s="100">
        <f>IFERROR(__xludf.DUMMYFUNCTION("""COMPUTED_VALUE"""),1313.0)</f>
        <v>1313</v>
      </c>
      <c r="E222" s="100">
        <f>IFERROR(__xludf.DUMMYFUNCTION("""COMPUTED_VALUE"""),361.0)</f>
        <v>361</v>
      </c>
      <c r="F222" s="100" t="str">
        <f>IFERROR(__xludf.DUMMYFUNCTION("""COMPUTED_VALUE"""),"Sleeping Hibiscus")</f>
        <v>Sleeping Hibiscus</v>
      </c>
      <c r="G222" s="100" t="str">
        <f>IFERROR(__xludf.DUMMYFUNCTION("""COMPUTED_VALUE"""),"Wakerobin")</f>
        <v>Wakerobin</v>
      </c>
      <c r="H222" s="100" t="str">
        <f>IFERROR(__xludf.DUMMYFUNCTION("""COMPUTED_VALUE"""),"Sage's Trial - Fierce Forest (Day)")</f>
        <v>Sage's Trial - Fierce Forest (Day)</v>
      </c>
    </row>
    <row r="223">
      <c r="A223" s="95"/>
      <c r="B223" s="96" t="str">
        <f>IFERROR(__xludf.DUMMYFUNCTION("""COMPUTED_VALUE"""),"Vicious Great Sabrecub")</f>
        <v>Vicious Great Sabrecub</v>
      </c>
      <c r="C223" s="101" t="str">
        <f>IFERROR(__xludf.DUMMYFUNCTION("""COMPUTED_VALUE"""),"Beast")</f>
        <v>Beast</v>
      </c>
      <c r="D223" s="101">
        <f>IFERROR(__xludf.DUMMYFUNCTION("""COMPUTED_VALUE"""),975.0)</f>
        <v>975</v>
      </c>
      <c r="E223" s="101">
        <f>IFERROR(__xludf.DUMMYFUNCTION("""COMPUTED_VALUE"""),247.0)</f>
        <v>247</v>
      </c>
      <c r="F223" s="101" t="str">
        <f>IFERROR(__xludf.DUMMYFUNCTION("""COMPUTED_VALUE"""),"Strong Medicine")</f>
        <v>Strong Medicine</v>
      </c>
      <c r="G223" s="101" t="str">
        <f>IFERROR(__xludf.DUMMYFUNCTION("""COMPUTED_VALUE"""),"Hardy Hide")</f>
        <v>Hardy Hide</v>
      </c>
      <c r="H223" s="101" t="str">
        <f>IFERROR(__xludf.DUMMYFUNCTION("""COMPUTED_VALUE"""),"Disciple's Trial - Eerie Valley (Day)")</f>
        <v>Disciple's Trial - Eerie Valley (Day)</v>
      </c>
    </row>
    <row r="224">
      <c r="A224" s="92"/>
      <c r="B224" s="93" t="str">
        <f>IFERROR(__xludf.DUMMYFUNCTION("""COMPUTED_VALUE"""),"Chewlip")</f>
        <v>Chewlip</v>
      </c>
      <c r="C224" s="100" t="str">
        <f>IFERROR(__xludf.DUMMYFUNCTION("""COMPUTED_VALUE"""),"Nature")</f>
        <v>Nature</v>
      </c>
      <c r="D224" s="100">
        <f>IFERROR(__xludf.DUMMYFUNCTION("""COMPUTED_VALUE"""),428.0)</f>
        <v>428</v>
      </c>
      <c r="E224" s="100">
        <f>IFERROR(__xludf.DUMMYFUNCTION("""COMPUTED_VALUE"""),87.0)</f>
        <v>87</v>
      </c>
      <c r="F224" s="100" t="str">
        <f>IFERROR(__xludf.DUMMYFUNCTION("""COMPUTED_VALUE"""),"Sleeping Hibiscus")</f>
        <v>Sleeping Hibiscus</v>
      </c>
      <c r="G224" s="100" t="str">
        <f>IFERROR(__xludf.DUMMYFUNCTION("""COMPUTED_VALUE"""),"Rosewhip")</f>
        <v>Rosewhip</v>
      </c>
      <c r="H224" s="100"/>
    </row>
    <row r="225">
      <c r="A225" s="95"/>
      <c r="B225" s="96" t="str">
        <f>IFERROR(__xludf.DUMMYFUNCTION("""COMPUTED_VALUE"""),"Dullahan")</f>
        <v>Dullahan</v>
      </c>
      <c r="C225" s="101" t="str">
        <f>IFERROR(__xludf.DUMMYFUNCTION("""COMPUTED_VALUE"""),"Undead")</f>
        <v>Undead</v>
      </c>
      <c r="D225" s="101">
        <f>IFERROR(__xludf.DUMMYFUNCTION("""COMPUTED_VALUE"""),488.0)</f>
        <v>488</v>
      </c>
      <c r="E225" s="101">
        <f>IFERROR(__xludf.DUMMYFUNCTION("""COMPUTED_VALUE"""),87.0)</f>
        <v>87</v>
      </c>
      <c r="F225" s="101" t="str">
        <f>IFERROR(__xludf.DUMMYFUNCTION("""COMPUTED_VALUE"""),"Leather Cape")</f>
        <v>Leather Cape</v>
      </c>
      <c r="G225" s="101" t="str">
        <f>IFERROR(__xludf.DUMMYFUNCTION("""COMPUTED_VALUE"""),"Platinum Shield")</f>
        <v>Platinum Shield</v>
      </c>
      <c r="H225" s="101"/>
    </row>
    <row r="226">
      <c r="A226" s="92"/>
      <c r="B226" s="93" t="str">
        <f>IFERROR(__xludf.DUMMYFUNCTION("""COMPUTED_VALUE"""),"Vicious Stump Chump")</f>
        <v>Vicious Stump Chump</v>
      </c>
      <c r="C226" s="100" t="str">
        <f>IFERROR(__xludf.DUMMYFUNCTION("""COMPUTED_VALUE"""),"Nature")</f>
        <v>Nature</v>
      </c>
      <c r="D226" s="100">
        <f>IFERROR(__xludf.DUMMYFUNCTION("""COMPUTED_VALUE"""),1542.0)</f>
        <v>1542</v>
      </c>
      <c r="E226" s="100">
        <f>IFERROR(__xludf.DUMMYFUNCTION("""COMPUTED_VALUE"""),312.0)</f>
        <v>312</v>
      </c>
      <c r="F226" s="100" t="str">
        <f>IFERROR(__xludf.DUMMYFUNCTION("""COMPUTED_VALUE"""),"Special Medicine")</f>
        <v>Special Medicine</v>
      </c>
      <c r="G226" s="100" t="str">
        <f>IFERROR(__xludf.DUMMYFUNCTION("""COMPUTED_VALUE"""),"Fatalistick")</f>
        <v>Fatalistick</v>
      </c>
      <c r="H226" s="100" t="str">
        <f>IFERROR(__xludf.DUMMYFUNCTION("""COMPUTED_VALUE"""),"Sage's Trial - Fierce Forest")</f>
        <v>Sage's Trial - Fierce Forest</v>
      </c>
    </row>
    <row r="227">
      <c r="A227" s="105"/>
      <c r="B227" s="96" t="str">
        <f>IFERROR(__xludf.DUMMYFUNCTION("""COMPUTED_VALUE"""),"Vicious Great Sabrecat")</f>
        <v>Vicious Great Sabrecat</v>
      </c>
      <c r="C227" s="101" t="str">
        <f>IFERROR(__xludf.DUMMYFUNCTION("""COMPUTED_VALUE"""),"Beast")</f>
        <v>Beast</v>
      </c>
      <c r="D227" s="101">
        <f>IFERROR(__xludf.DUMMYFUNCTION("""COMPUTED_VALUE"""),1945.0)</f>
        <v>1945</v>
      </c>
      <c r="E227" s="101">
        <f>IFERROR(__xludf.DUMMYFUNCTION("""COMPUTED_VALUE"""),463.0)</f>
        <v>463</v>
      </c>
      <c r="F227" s="101" t="str">
        <f>IFERROR(__xludf.DUMMYFUNCTION("""COMPUTED_VALUE"""),"Strong Medicine")</f>
        <v>Strong Medicine</v>
      </c>
      <c r="G227" s="101" t="str">
        <f>IFERROR(__xludf.DUMMYFUNCTION("""COMPUTED_VALUE"""),"Magic Beast Hide")</f>
        <v>Magic Beast Hide</v>
      </c>
      <c r="H227" s="101" t="str">
        <f>IFERROR(__xludf.DUMMYFUNCTION("""COMPUTED_VALUE"""),"Disciple's Trial - Eerie Valley (Day)")</f>
        <v>Disciple's Trial - Eerie Valley (Day)</v>
      </c>
    </row>
    <row r="228">
      <c r="A228" s="106" t="str">
        <f>IFERROR(__xludf.DUMMYFUNCTION("""COMPUTED_VALUE"""),"P12")</f>
        <v>P12</v>
      </c>
      <c r="B228" s="93" t="str">
        <f>IFERROR(__xludf.DUMMYFUNCTION("""COMPUTED_VALUE"""),"Hocus-Poker")</f>
        <v>Hocus-Poker</v>
      </c>
      <c r="C228" s="100" t="str">
        <f>IFERROR(__xludf.DUMMYFUNCTION("""COMPUTED_VALUE"""),"Humanoid")</f>
        <v>Humanoid</v>
      </c>
      <c r="D228" s="100">
        <f>IFERROR(__xludf.DUMMYFUNCTION("""COMPUTED_VALUE"""),384.0)</f>
        <v>384</v>
      </c>
      <c r="E228" s="100">
        <f>IFERROR(__xludf.DUMMYFUNCTION("""COMPUTED_VALUE"""),80.0)</f>
        <v>80</v>
      </c>
      <c r="F228" s="100" t="str">
        <f>IFERROR(__xludf.DUMMYFUNCTION("""COMPUTED_VALUE"""),"Magic Water")</f>
        <v>Magic Water</v>
      </c>
      <c r="G228" s="100" t="str">
        <f>IFERROR(__xludf.DUMMYFUNCTION("""COMPUTED_VALUE"""),"Tsunami Staff")</f>
        <v>Tsunami Staff</v>
      </c>
      <c r="H228" s="100"/>
    </row>
    <row r="229">
      <c r="A229" s="95"/>
      <c r="B229" s="96" t="str">
        <f>IFERROR(__xludf.DUMMYFUNCTION("""COMPUTED_VALUE"""),"Iron Maiden")</f>
        <v>Iron Maiden</v>
      </c>
      <c r="C229" s="101" t="str">
        <f>IFERROR(__xludf.DUMMYFUNCTION("""COMPUTED_VALUE"""),"Material")</f>
        <v>Material</v>
      </c>
      <c r="D229" s="101">
        <f>IFERROR(__xludf.DUMMYFUNCTION("""COMPUTED_VALUE"""),506.0)</f>
        <v>506</v>
      </c>
      <c r="E229" s="101">
        <f>IFERROR(__xludf.DUMMYFUNCTION("""COMPUTED_VALUE"""),70.0)</f>
        <v>70</v>
      </c>
      <c r="F229" s="101" t="str">
        <f>IFERROR(__xludf.DUMMYFUNCTION("""COMPUTED_VALUE"""),"Silkblossom")</f>
        <v>Silkblossom</v>
      </c>
      <c r="G229" s="101" t="str">
        <f>IFERROR(__xludf.DUMMYFUNCTION("""COMPUTED_VALUE"""),"Hairband")</f>
        <v>Hairband</v>
      </c>
      <c r="H229" s="101"/>
    </row>
    <row r="230">
      <c r="A230" s="92"/>
      <c r="B230" s="102" t="str">
        <f>IFERROR(__xludf.DUMMYFUNCTION("""COMPUTED_VALUE"""),"Platinum Poppet (Rarefied)")</f>
        <v>Platinum Poppet (Rarefied)</v>
      </c>
      <c r="C230" s="93" t="str">
        <f>IFERROR(__xludf.DUMMYFUNCTION("""COMPUTED_VALUE"""),"Material")</f>
        <v>Material</v>
      </c>
      <c r="D230" s="93">
        <f>IFERROR(__xludf.DUMMYFUNCTION("""COMPUTED_VALUE"""),1273.0)</f>
        <v>1273</v>
      </c>
      <c r="E230" s="93">
        <f>IFERROR(__xludf.DUMMYFUNCTION("""COMPUTED_VALUE"""),321.0)</f>
        <v>321</v>
      </c>
      <c r="F230" s="93" t="str">
        <f>IFERROR(__xludf.DUMMYFUNCTION("""COMPUTED_VALUE"""),"Technicolour Dreamcloth")</f>
        <v>Technicolour Dreamcloth</v>
      </c>
      <c r="G230" s="93" t="str">
        <f>IFERROR(__xludf.DUMMYFUNCTION("""COMPUTED_VALUE"""),"Marquess's Mittens")</f>
        <v>Marquess's Mittens</v>
      </c>
      <c r="H230" s="93" t="str">
        <f>IFERROR(__xludf.DUMMYFUNCTION("""COMPUTED_VALUE"""),"Luminary's Trial (Night): 2F Western room, rare Vicious Iron Maiden")</f>
        <v>Luminary's Trial (Night): 2F Western room, rare Vicious Iron Maiden</v>
      </c>
    </row>
    <row r="231">
      <c r="A231" s="95"/>
      <c r="B231" s="96" t="str">
        <f>IFERROR(__xludf.DUMMYFUNCTION("""COMPUTED_VALUE"""),"Tyriant")</f>
        <v>Tyriant</v>
      </c>
      <c r="C231" s="101" t="str">
        <f>IFERROR(__xludf.DUMMYFUNCTION("""COMPUTED_VALUE"""),"Undead")</f>
        <v>Undead</v>
      </c>
      <c r="D231" s="101">
        <f>IFERROR(__xludf.DUMMYFUNCTION("""COMPUTED_VALUE"""),10500.0)</f>
        <v>10500</v>
      </c>
      <c r="E231" s="101">
        <f>IFERROR(__xludf.DUMMYFUNCTION("""COMPUTED_VALUE"""),8000.0)</f>
        <v>8000</v>
      </c>
      <c r="F231" s="101" t="str">
        <f>IFERROR(__xludf.DUMMYFUNCTION("""COMPUTED_VALUE"""),"--")</f>
        <v>--</v>
      </c>
      <c r="G231" s="101" t="str">
        <f>IFERROR(__xludf.DUMMYFUNCTION("""COMPUTED_VALUE"""),"--")</f>
        <v>--</v>
      </c>
      <c r="H231" s="101" t="str">
        <f>IFERROR(__xludf.DUMMYFUNCTION("""COMPUTED_VALUE"""),"--")</f>
        <v>--</v>
      </c>
    </row>
    <row r="232">
      <c r="A232" s="92"/>
      <c r="B232" s="93" t="str">
        <f>IFERROR(__xludf.DUMMYFUNCTION("""COMPUTED_VALUE"""),"Vicious Bodkin Fletcher")</f>
        <v>Vicious Bodkin Fletcher</v>
      </c>
      <c r="C232" s="100" t="str">
        <f>IFERROR(__xludf.DUMMYFUNCTION("""COMPUTED_VALUE"""),"Humanoid")</f>
        <v>Humanoid</v>
      </c>
      <c r="D232" s="100">
        <f>IFERROR(__xludf.DUMMYFUNCTION("""COMPUTED_VALUE"""),1281.0)</f>
        <v>1281</v>
      </c>
      <c r="E232" s="100">
        <f>IFERROR(__xludf.DUMMYFUNCTION("""COMPUTED_VALUE"""),309.0)</f>
        <v>309</v>
      </c>
      <c r="F232" s="100" t="str">
        <f>IFERROR(__xludf.DUMMYFUNCTION("""COMPUTED_VALUE"""),"Special Antidote")</f>
        <v>Special Antidote</v>
      </c>
      <c r="G232" s="100" t="str">
        <f>IFERROR(__xludf.DUMMYFUNCTION("""COMPUTED_VALUE"""),"Poison Moth Knife")</f>
        <v>Poison Moth Knife</v>
      </c>
      <c r="H232" s="100" t="str">
        <f>IFERROR(__xludf.DUMMYFUNCTION("""COMPUTED_VALUE"""),"Sage's Trial - Fierce Forest (Day)")</f>
        <v>Sage's Trial - Fierce Forest (Day)</v>
      </c>
    </row>
    <row r="233">
      <c r="A233" s="95"/>
      <c r="B233" s="96" t="str">
        <f>IFERROR(__xludf.DUMMYFUNCTION("""COMPUTED_VALUE"""),"Lump Shaman")</f>
        <v>Lump Shaman</v>
      </c>
      <c r="C233" s="101" t="str">
        <f>IFERROR(__xludf.DUMMYFUNCTION("""COMPUTED_VALUE"""),"Humanoid")</f>
        <v>Humanoid</v>
      </c>
      <c r="D233" s="101">
        <f>IFERROR(__xludf.DUMMYFUNCTION("""COMPUTED_VALUE"""),384.0)</f>
        <v>384</v>
      </c>
      <c r="E233" s="101">
        <f>IFERROR(__xludf.DUMMYFUNCTION("""COMPUTED_VALUE"""),80.0)</f>
        <v>80</v>
      </c>
      <c r="F233" s="101" t="str">
        <f>IFERROR(__xludf.DUMMYFUNCTION("""COMPUTED_VALUE"""),"Thinkincense")</f>
        <v>Thinkincense</v>
      </c>
      <c r="G233" s="101" t="str">
        <f>IFERROR(__xludf.DUMMYFUNCTION("""COMPUTED_VALUE"""),"Seed of Therapeusis")</f>
        <v>Seed of Therapeusis</v>
      </c>
      <c r="H233" s="101"/>
    </row>
    <row r="234">
      <c r="A234" s="92"/>
      <c r="B234" s="93" t="str">
        <f>IFERROR(__xludf.DUMMYFUNCTION("""COMPUTED_VALUE"""),"Octopot")</f>
        <v>Octopot</v>
      </c>
      <c r="C234" s="100" t="str">
        <f>IFERROR(__xludf.DUMMYFUNCTION("""COMPUTED_VALUE"""),"Nature")</f>
        <v>Nature</v>
      </c>
      <c r="D234" s="100">
        <f>IFERROR(__xludf.DUMMYFUNCTION("""COMPUTED_VALUE"""),271.0)</f>
        <v>271</v>
      </c>
      <c r="E234" s="100">
        <f>IFERROR(__xludf.DUMMYFUNCTION("""COMPUTED_VALUE"""),86.0)</f>
        <v>86</v>
      </c>
      <c r="F234" s="100" t="str">
        <f>IFERROR(__xludf.DUMMYFUNCTION("""COMPUTED_VALUE"""),"Glass Frit")</f>
        <v>Glass Frit</v>
      </c>
      <c r="G234" s="100" t="str">
        <f>IFERROR(__xludf.DUMMYFUNCTION("""COMPUTED_VALUE"""),"Red Eye")</f>
        <v>Red Eye</v>
      </c>
      <c r="H234" s="100"/>
    </row>
    <row r="235">
      <c r="A235" s="95"/>
      <c r="B235" s="96" t="str">
        <f>IFERROR(__xludf.DUMMYFUNCTION("""COMPUTED_VALUE"""),"Vicious Kriller Kriller")</f>
        <v>Vicious Kriller Kriller</v>
      </c>
      <c r="C235" s="101" t="str">
        <f>IFERROR(__xludf.DUMMYFUNCTION("""COMPUTED_VALUE"""),"Nature")</f>
        <v>Nature</v>
      </c>
      <c r="D235" s="101">
        <f>IFERROR(__xludf.DUMMYFUNCTION("""COMPUTED_VALUE"""),2641.0)</f>
        <v>2641</v>
      </c>
      <c r="E235" s="101">
        <f>IFERROR(__xludf.DUMMYFUNCTION("""COMPUTED_VALUE"""),311.0)</f>
        <v>311</v>
      </c>
      <c r="F235" s="101" t="str">
        <f>IFERROR(__xludf.DUMMYFUNCTION("""COMPUTED_VALUE"""),"Tiny Tortoise Shell")</f>
        <v>Tiny Tortoise Shell</v>
      </c>
      <c r="G235" s="101" t="str">
        <f>IFERROR(__xludf.DUMMYFUNCTION("""COMPUTED_VALUE"""),"Scorpion Tail")</f>
        <v>Scorpion Tail</v>
      </c>
      <c r="H235" s="101" t="str">
        <f>IFERROR(__xludf.DUMMYFUNCTION("""COMPUTED_VALUE"""),"Disciple's Trial - Eerie Valley (Day)")</f>
        <v>Disciple's Trial - Eerie Valley (Day)</v>
      </c>
    </row>
    <row r="236">
      <c r="A236" s="92"/>
      <c r="B236" s="93" t="str">
        <f>IFERROR(__xludf.DUMMYFUNCTION("""COMPUTED_VALUE"""),"Vicious Gnawchid")</f>
        <v>Vicious Gnawchid</v>
      </c>
      <c r="C236" s="100" t="str">
        <f>IFERROR(__xludf.DUMMYFUNCTION("""COMPUTED_VALUE"""),"Nature")</f>
        <v>Nature</v>
      </c>
      <c r="D236" s="100">
        <f>IFERROR(__xludf.DUMMYFUNCTION("""COMPUTED_VALUE"""),1825.0)</f>
        <v>1825</v>
      </c>
      <c r="E236" s="100">
        <f>IFERROR(__xludf.DUMMYFUNCTION("""COMPUTED_VALUE"""),514.0)</f>
        <v>514</v>
      </c>
      <c r="F236" s="100" t="str">
        <f>IFERROR(__xludf.DUMMYFUNCTION("""COMPUTED_VALUE"""),"Faerie Fluff")</f>
        <v>Faerie Fluff</v>
      </c>
      <c r="G236" s="100" t="str">
        <f>IFERROR(__xludf.DUMMYFUNCTION("""COMPUTED_VALUE"""),"Pretty Betsy")</f>
        <v>Pretty Betsy</v>
      </c>
      <c r="H236" s="100" t="str">
        <f>IFERROR(__xludf.DUMMYFUNCTION("""COMPUTED_VALUE"""),"Sage's Trial - Fierce Forest (Night)")</f>
        <v>Sage's Trial - Fierce Forest (Night)</v>
      </c>
    </row>
    <row r="237">
      <c r="A237" s="95"/>
      <c r="B237" s="96" t="str">
        <f>IFERROR(__xludf.DUMMYFUNCTION("""COMPUTED_VALUE"""),"Merking")</f>
        <v>Merking</v>
      </c>
      <c r="C237" s="101" t="str">
        <f>IFERROR(__xludf.DUMMYFUNCTION("""COMPUTED_VALUE"""),"Nature")</f>
        <v>Nature</v>
      </c>
      <c r="D237" s="101">
        <f>IFERROR(__xludf.DUMMYFUNCTION("""COMPUTED_VALUE"""),573.0)</f>
        <v>573</v>
      </c>
      <c r="E237" s="101">
        <f>IFERROR(__xludf.DUMMYFUNCTION("""COMPUTED_VALUE"""),86.0)</f>
        <v>86</v>
      </c>
      <c r="F237" s="101" t="str">
        <f>IFERROR(__xludf.DUMMYFUNCTION("""COMPUTED_VALUE"""),"Special Antidote")</f>
        <v>Special Antidote</v>
      </c>
      <c r="G237" s="101" t="str">
        <f>IFERROR(__xludf.DUMMYFUNCTION("""COMPUTED_VALUE"""),"Scandalous Swimsuit")</f>
        <v>Scandalous Swimsuit</v>
      </c>
      <c r="H237" s="101"/>
    </row>
    <row r="238">
      <c r="A238" s="92"/>
      <c r="B238" s="93" t="str">
        <f>IFERROR(__xludf.DUMMYFUNCTION("""COMPUTED_VALUE"""),"Gleeful Grublin")</f>
        <v>Gleeful Grublin</v>
      </c>
      <c r="C238" s="100" t="str">
        <f>IFERROR(__xludf.DUMMYFUNCTION("""COMPUTED_VALUE"""),"Humanoid")</f>
        <v>Humanoid</v>
      </c>
      <c r="D238" s="100">
        <f>IFERROR(__xludf.DUMMYFUNCTION("""COMPUTED_VALUE"""),391.0)</f>
        <v>391</v>
      </c>
      <c r="E238" s="100">
        <f>IFERROR(__xludf.DUMMYFUNCTION("""COMPUTED_VALUE"""),78.0)</f>
        <v>78</v>
      </c>
      <c r="F238" s="100" t="str">
        <f>IFERROR(__xludf.DUMMYFUNCTION("""COMPUTED_VALUE"""),"Bastard Sword")</f>
        <v>Bastard Sword</v>
      </c>
      <c r="G238" s="100" t="str">
        <f>IFERROR(__xludf.DUMMYFUNCTION("""COMPUTED_VALUE"""),"Magic Shield")</f>
        <v>Magic Shield</v>
      </c>
      <c r="H238" s="100"/>
    </row>
    <row r="239">
      <c r="A239" s="95"/>
      <c r="B239" s="96" t="str">
        <f>IFERROR(__xludf.DUMMYFUNCTION("""COMPUTED_VALUE"""),"Dragon Rider")</f>
        <v>Dragon Rider</v>
      </c>
      <c r="C239" s="101" t="str">
        <f>IFERROR(__xludf.DUMMYFUNCTION("""COMPUTED_VALUE"""),"Dragon")</f>
        <v>Dragon</v>
      </c>
      <c r="D239" s="101">
        <f>IFERROR(__xludf.DUMMYFUNCTION("""COMPUTED_VALUE"""),410.0)</f>
        <v>410</v>
      </c>
      <c r="E239" s="101">
        <f>IFERROR(__xludf.DUMMYFUNCTION("""COMPUTED_VALUE"""),148.0)</f>
        <v>148</v>
      </c>
      <c r="F239" s="101" t="str">
        <f>IFERROR(__xludf.DUMMYFUNCTION("""COMPUTED_VALUE"""),"Dragon Horn")</f>
        <v>Dragon Horn</v>
      </c>
      <c r="G239" s="101" t="str">
        <f>IFERROR(__xludf.DUMMYFUNCTION("""COMPUTED_VALUE"""),"Dragonsbane")</f>
        <v>Dragonsbane</v>
      </c>
      <c r="H239" s="101"/>
    </row>
    <row r="240">
      <c r="A240" s="92"/>
      <c r="B240" s="93" t="str">
        <f>IFERROR(__xludf.DUMMYFUNCTION("""COMPUTED_VALUE"""),"Rockbomb")</f>
        <v>Rockbomb</v>
      </c>
      <c r="C240" s="100" t="str">
        <f>IFERROR(__xludf.DUMMYFUNCTION("""COMPUTED_VALUE"""),"Material")</f>
        <v>Material</v>
      </c>
      <c r="D240" s="100">
        <f>IFERROR(__xludf.DUMMYFUNCTION("""COMPUTED_VALUE"""),460.0)</f>
        <v>460</v>
      </c>
      <c r="E240" s="100">
        <f>IFERROR(__xludf.DUMMYFUNCTION("""COMPUTED_VALUE"""),82.0)</f>
        <v>82</v>
      </c>
      <c r="F240" s="100" t="str">
        <f>IFERROR(__xludf.DUMMYFUNCTION("""COMPUTED_VALUE"""),"Lava Lump")</f>
        <v>Lava Lump</v>
      </c>
      <c r="G240" s="100" t="str">
        <f>IFERROR(__xludf.DUMMYFUNCTION("""COMPUTED_VALUE"""),"Rockbomb Shard")</f>
        <v>Rockbomb Shard</v>
      </c>
      <c r="H240" s="100"/>
    </row>
    <row r="241">
      <c r="A241" s="95"/>
      <c r="B241" s="96" t="str">
        <f>IFERROR(__xludf.DUMMYFUNCTION("""COMPUTED_VALUE"""),"Honeyhead Horknight")</f>
        <v>Honeyhead Horknight</v>
      </c>
      <c r="C241" s="101" t="str">
        <f>IFERROR(__xludf.DUMMYFUNCTION("""COMPUTED_VALUE"""),"Humanoid")</f>
        <v>Humanoid</v>
      </c>
      <c r="D241" s="101">
        <f>IFERROR(__xludf.DUMMYFUNCTION("""COMPUTED_VALUE"""),349.0)</f>
        <v>349</v>
      </c>
      <c r="E241" s="101">
        <f>IFERROR(__xludf.DUMMYFUNCTION("""COMPUTED_VALUE"""),71.0)</f>
        <v>71</v>
      </c>
      <c r="F241" s="101" t="str">
        <f>IFERROR(__xludf.DUMMYFUNCTION("""COMPUTED_VALUE"""),"Colourful Cocoon")</f>
        <v>Colourful Cocoon</v>
      </c>
      <c r="G241" s="101" t="str">
        <f>IFERROR(__xludf.DUMMYFUNCTION("""COMPUTED_VALUE"""),"Platinum Lance")</f>
        <v>Platinum Lance</v>
      </c>
      <c r="H241" s="101"/>
    </row>
    <row r="242">
      <c r="A242" s="92"/>
      <c r="B242" s="93" t="str">
        <f>IFERROR(__xludf.DUMMYFUNCTION("""COMPUTED_VALUE"""),"Boreal Serpent")</f>
        <v>Boreal Serpent</v>
      </c>
      <c r="C242" s="100" t="str">
        <f>IFERROR(__xludf.DUMMYFUNCTION("""COMPUTED_VALUE"""),"Dragon")</f>
        <v>Dragon</v>
      </c>
      <c r="D242" s="100">
        <f>IFERROR(__xludf.DUMMYFUNCTION("""COMPUTED_VALUE"""),1201.0)</f>
        <v>1201</v>
      </c>
      <c r="E242" s="100">
        <f>IFERROR(__xludf.DUMMYFUNCTION("""COMPUTED_VALUE"""),147.0)</f>
        <v>147</v>
      </c>
      <c r="F242" s="100" t="str">
        <f>IFERROR(__xludf.DUMMYFUNCTION("""COMPUTED_VALUE"""),"Ice Crystal")</f>
        <v>Ice Crystal</v>
      </c>
      <c r="G242" s="100" t="str">
        <f>IFERROR(__xludf.DUMMYFUNCTION("""COMPUTED_VALUE"""),"Seed of Life")</f>
        <v>Seed of Life</v>
      </c>
      <c r="H242" s="100"/>
    </row>
    <row r="243">
      <c r="A243" s="95"/>
      <c r="B243" s="96" t="str">
        <f>IFERROR(__xludf.DUMMYFUNCTION("""COMPUTED_VALUE"""),"Tantamount")</f>
        <v>Tantamount</v>
      </c>
      <c r="C243" s="101" t="str">
        <f>IFERROR(__xludf.DUMMYFUNCTION("""COMPUTED_VALUE"""),"Beast")</f>
        <v>Beast</v>
      </c>
      <c r="D243" s="101">
        <f>IFERROR(__xludf.DUMMYFUNCTION("""COMPUTED_VALUE"""),521.0)</f>
        <v>521</v>
      </c>
      <c r="E243" s="101">
        <f>IFERROR(__xludf.DUMMYFUNCTION("""COMPUTED_VALUE"""),84.0)</f>
        <v>84</v>
      </c>
      <c r="F243" s="101" t="str">
        <f>IFERROR(__xludf.DUMMYFUNCTION("""COMPUTED_VALUE"""),"Horse Manure")</f>
        <v>Horse Manure</v>
      </c>
      <c r="G243" s="101" t="str">
        <f>IFERROR(__xludf.DUMMYFUNCTION("""COMPUTED_VALUE"""),"Equable Emerald")</f>
        <v>Equable Emerald</v>
      </c>
      <c r="H243" s="101"/>
    </row>
    <row r="244">
      <c r="A244" s="92"/>
      <c r="B244" s="93" t="str">
        <f>IFERROR(__xludf.DUMMYFUNCTION("""COMPUTED_VALUE"""),"Rab")</f>
        <v>Rab</v>
      </c>
      <c r="C244" s="100" t="str">
        <f>IFERROR(__xludf.DUMMYFUNCTION("""COMPUTED_VALUE"""),"???")</f>
        <v>???</v>
      </c>
      <c r="D244" s="100">
        <f>IFERROR(__xludf.DUMMYFUNCTION("""COMPUTED_VALUE"""),2000.0)</f>
        <v>2000</v>
      </c>
      <c r="E244" s="100">
        <f>IFERROR(__xludf.DUMMYFUNCTION("""COMPUTED_VALUE"""),500.0)</f>
        <v>500</v>
      </c>
      <c r="F244" s="100" t="str">
        <f>IFERROR(__xludf.DUMMYFUNCTION("""COMPUTED_VALUE"""),"--")</f>
        <v>--</v>
      </c>
      <c r="G244" s="100" t="str">
        <f>IFERROR(__xludf.DUMMYFUNCTION("""COMPUTED_VALUE"""),"--")</f>
        <v>--</v>
      </c>
      <c r="H244" s="100" t="str">
        <f>IFERROR(__xludf.DUMMYFUNCTION("""COMPUTED_VALUE"""),"--")</f>
        <v>--</v>
      </c>
    </row>
    <row r="245">
      <c r="A245" s="95"/>
      <c r="B245" s="96" t="str">
        <f>IFERROR(__xludf.DUMMYFUNCTION("""COMPUTED_VALUE"""),"Vicious Lump Mage")</f>
        <v>Vicious Lump Mage</v>
      </c>
      <c r="C245" s="101" t="str">
        <f>IFERROR(__xludf.DUMMYFUNCTION("""COMPUTED_VALUE"""),"Humanoid")</f>
        <v>Humanoid</v>
      </c>
      <c r="D245" s="101">
        <f>IFERROR(__xludf.DUMMYFUNCTION("""COMPUTED_VALUE"""),1409.0)</f>
        <v>1409</v>
      </c>
      <c r="E245" s="101">
        <f>IFERROR(__xludf.DUMMYFUNCTION("""COMPUTED_VALUE"""),349.0)</f>
        <v>349</v>
      </c>
      <c r="F245" s="101" t="str">
        <f>IFERROR(__xludf.DUMMYFUNCTION("""COMPUTED_VALUE"""),"Magic Water")</f>
        <v>Magic Water</v>
      </c>
      <c r="G245" s="101" t="str">
        <f>IFERROR(__xludf.DUMMYFUNCTION("""COMPUTED_VALUE"""),"Wizard's Staff")</f>
        <v>Wizard's Staff</v>
      </c>
      <c r="H245" s="101" t="str">
        <f>IFERROR(__xludf.DUMMYFUNCTION("""COMPUTED_VALUE"""),"Sage's Trial - Fierce Forest (Night)")</f>
        <v>Sage's Trial - Fierce Forest (Night)</v>
      </c>
    </row>
    <row r="246">
      <c r="A246" s="92"/>
      <c r="B246" s="93" t="str">
        <f>IFERROR(__xludf.DUMMYFUNCTION("""COMPUTED_VALUE"""),"Vicious Corpse Corporal")</f>
        <v>Vicious Corpse Corporal</v>
      </c>
      <c r="C246" s="100" t="str">
        <f>IFERROR(__xludf.DUMMYFUNCTION("""COMPUTED_VALUE"""),"Undead")</f>
        <v>Undead</v>
      </c>
      <c r="D246" s="100">
        <f>IFERROR(__xludf.DUMMYFUNCTION("""COMPUTED_VALUE"""),1641.0)</f>
        <v>1641</v>
      </c>
      <c r="E246" s="100">
        <f>IFERROR(__xludf.DUMMYFUNCTION("""COMPUTED_VALUE"""),422.0)</f>
        <v>422</v>
      </c>
      <c r="F246" s="100" t="str">
        <f>IFERROR(__xludf.DUMMYFUNCTION("""COMPUTED_VALUE"""),"Grubby Bandage")</f>
        <v>Grubby Bandage</v>
      </c>
      <c r="G246" s="100" t="str">
        <f>IFERROR(__xludf.DUMMYFUNCTION("""COMPUTED_VALUE"""),"Seed of Life")</f>
        <v>Seed of Life</v>
      </c>
      <c r="H246" s="100" t="str">
        <f>IFERROR(__xludf.DUMMYFUNCTION("""COMPUTED_VALUE"""),"Sage's Trial - Hoarder's Keep (Night)")</f>
        <v>Sage's Trial - Hoarder's Keep (Night)</v>
      </c>
    </row>
    <row r="247">
      <c r="A247" s="105"/>
      <c r="B247" s="96" t="str">
        <f>IFERROR(__xludf.DUMMYFUNCTION("""COMPUTED_VALUE"""),"Vicious Slime (Amalgoomated)")</f>
        <v>Vicious Slime (Amalgoomated)</v>
      </c>
      <c r="C247" s="101" t="str">
        <f>IFERROR(__xludf.DUMMYFUNCTION("""COMPUTED_VALUE"""),"Slime")</f>
        <v>Slime</v>
      </c>
      <c r="D247" s="101">
        <f>IFERROR(__xludf.DUMMYFUNCTION("""COMPUTED_VALUE"""),497.0)</f>
        <v>497</v>
      </c>
      <c r="E247" s="101">
        <f>IFERROR(__xludf.DUMMYFUNCTION("""COMPUTED_VALUE"""),244.0)</f>
        <v>244</v>
      </c>
      <c r="F247" s="101" t="str">
        <f>IFERROR(__xludf.DUMMYFUNCTION("""COMPUTED_VALUE"""),"Strong Medicine")</f>
        <v>Strong Medicine</v>
      </c>
      <c r="G247" s="101" t="str">
        <f>IFERROR(__xludf.DUMMYFUNCTION("""COMPUTED_VALUE"""),"Slimedrop")</f>
        <v>Slimedrop</v>
      </c>
      <c r="H247" s="101" t="str">
        <f>IFERROR(__xludf.DUMMYFUNCTION("""COMPUTED_VALUE"""),"Disciple's Trial - Eerie Valley (Day)")</f>
        <v>Disciple's Trial - Eerie Valley (Day)</v>
      </c>
    </row>
    <row r="248">
      <c r="A248" s="106" t="str">
        <f>IFERROR(__xludf.DUMMYFUNCTION("""COMPUTED_VALUE"""),"P13")</f>
        <v>P13</v>
      </c>
      <c r="B248" s="93" t="str">
        <f>IFERROR(__xludf.DUMMYFUNCTION("""COMPUTED_VALUE"""),"Vicious King Slime")</f>
        <v>Vicious King Slime</v>
      </c>
      <c r="C248" s="100" t="str">
        <f>IFERROR(__xludf.DUMMYFUNCTION("""COMPUTED_VALUE"""),"Slime")</f>
        <v>Slime</v>
      </c>
      <c r="D248" s="100">
        <f>IFERROR(__xludf.DUMMYFUNCTION("""COMPUTED_VALUE"""),2472.0)</f>
        <v>2472</v>
      </c>
      <c r="E248" s="100">
        <f>IFERROR(__xludf.DUMMYFUNCTION("""COMPUTED_VALUE"""),420.0)</f>
        <v>420</v>
      </c>
      <c r="F248" s="100" t="str">
        <f>IFERROR(__xludf.DUMMYFUNCTION("""COMPUTED_VALUE"""),"Slimedrop")</f>
        <v>Slimedrop</v>
      </c>
      <c r="G248" s="100" t="str">
        <f>IFERROR(__xludf.DUMMYFUNCTION("""COMPUTED_VALUE"""),"Slime Crown")</f>
        <v>Slime Crown</v>
      </c>
      <c r="H248" s="100" t="str">
        <f>IFERROR(__xludf.DUMMYFUNCTION("""COMPUTED_VALUE"""),"Disciple's Trial - Eerie Valley (Day), Luminary's Trial (Night)")</f>
        <v>Disciple's Trial - Eerie Valley (Day), Luminary's Trial (Night)</v>
      </c>
    </row>
    <row r="249">
      <c r="A249" s="95"/>
      <c r="B249" s="96" t="str">
        <f>IFERROR(__xludf.DUMMYFUNCTION("""COMPUTED_VALUE"""),"Vicious Metal Slime Knight")</f>
        <v>Vicious Metal Slime Knight</v>
      </c>
      <c r="C249" s="101" t="str">
        <f>IFERROR(__xludf.DUMMYFUNCTION("""COMPUTED_VALUE"""),"Slime")</f>
        <v>Slime</v>
      </c>
      <c r="D249" s="101">
        <f>IFERROR(__xludf.DUMMYFUNCTION("""COMPUTED_VALUE"""),1538.0)</f>
        <v>1538</v>
      </c>
      <c r="E249" s="101">
        <f>IFERROR(__xludf.DUMMYFUNCTION("""COMPUTED_VALUE"""),330.0)</f>
        <v>330</v>
      </c>
      <c r="F249" s="101" t="str">
        <f>IFERROR(__xludf.DUMMYFUNCTION("""COMPUTED_VALUE"""),"Light Shield")</f>
        <v>Light Shield</v>
      </c>
      <c r="G249" s="101" t="str">
        <f>IFERROR(__xludf.DUMMYFUNCTION("""COMPUTED_VALUE"""),"Densinium")</f>
        <v>Densinium</v>
      </c>
      <c r="H249" s="101" t="str">
        <f>IFERROR(__xludf.DUMMYFUNCTION("""COMPUTED_VALUE"""),"Disciple's Trial - Eerie Valley (Night)")</f>
        <v>Disciple's Trial - Eerie Valley (Night)</v>
      </c>
    </row>
    <row r="250">
      <c r="A250" s="92"/>
      <c r="B250" s="93" t="str">
        <f>IFERROR(__xludf.DUMMYFUNCTION("""COMPUTED_VALUE"""),"Terrornodon")</f>
        <v>Terrornodon</v>
      </c>
      <c r="C250" s="100" t="str">
        <f>IFERROR(__xludf.DUMMYFUNCTION("""COMPUTED_VALUE"""),"Bird")</f>
        <v>Bird</v>
      </c>
      <c r="D250" s="100">
        <f>IFERROR(__xludf.DUMMYFUNCTION("""COMPUTED_VALUE"""),422.0)</f>
        <v>422</v>
      </c>
      <c r="E250" s="100">
        <f>IFERROR(__xludf.DUMMYFUNCTION("""COMPUTED_VALUE"""),75.0)</f>
        <v>75</v>
      </c>
      <c r="F250" s="100" t="str">
        <f>IFERROR(__xludf.DUMMYFUNCTION("""COMPUTED_VALUE"""),"Twisted Talons")</f>
        <v>Twisted Talons</v>
      </c>
      <c r="G250" s="100" t="str">
        <f>IFERROR(__xludf.DUMMYFUNCTION("""COMPUTED_VALUE"""),"Seed of Magic")</f>
        <v>Seed of Magic</v>
      </c>
      <c r="H250" s="100"/>
    </row>
    <row r="251">
      <c r="A251" s="95"/>
      <c r="B251" s="96" t="str">
        <f>IFERROR(__xludf.DUMMYFUNCTION("""COMPUTED_VALUE"""),"Vicious Demonrider")</f>
        <v>Vicious Demonrider</v>
      </c>
      <c r="C251" s="101" t="str">
        <f>IFERROR(__xludf.DUMMYFUNCTION("""COMPUTED_VALUE"""),"Undead")</f>
        <v>Undead</v>
      </c>
      <c r="D251" s="101">
        <f>IFERROR(__xludf.DUMMYFUNCTION("""COMPUTED_VALUE"""),1265.0)</f>
        <v>1265</v>
      </c>
      <c r="E251" s="101">
        <f>IFERROR(__xludf.DUMMYFUNCTION("""COMPUTED_VALUE"""),334.0)</f>
        <v>334</v>
      </c>
      <c r="F251" s="101" t="str">
        <f>IFERROR(__xludf.DUMMYFUNCTION("""COMPUTED_VALUE"""),"Beast Bone")</f>
        <v>Beast Bone</v>
      </c>
      <c r="G251" s="101" t="str">
        <f>IFERROR(__xludf.DUMMYFUNCTION("""COMPUTED_VALUE"""),"Magic Beast Horn")</f>
        <v>Magic Beast Horn</v>
      </c>
      <c r="H251" s="101" t="str">
        <f>IFERROR(__xludf.DUMMYFUNCTION("""COMPUTED_VALUE"""),"Disciple's Trial - Cruel Crypt, Disciple's Trial - Eerie Valley")</f>
        <v>Disciple's Trial - Cruel Crypt, Disciple's Trial - Eerie Valley</v>
      </c>
    </row>
    <row r="252">
      <c r="A252" s="92"/>
      <c r="B252" s="93" t="str">
        <f>IFERROR(__xludf.DUMMYFUNCTION("""COMPUTED_VALUE"""),"Knight Aberrant")</f>
        <v>Knight Aberrant</v>
      </c>
      <c r="C252" s="100" t="str">
        <f>IFERROR(__xludf.DUMMYFUNCTION("""COMPUTED_VALUE"""),"Demon")</f>
        <v>Demon</v>
      </c>
      <c r="D252" s="100">
        <f>IFERROR(__xludf.DUMMYFUNCTION("""COMPUTED_VALUE"""),740.0)</f>
        <v>740</v>
      </c>
      <c r="E252" s="100">
        <f>IFERROR(__xludf.DUMMYFUNCTION("""COMPUTED_VALUE"""),140.0)</f>
        <v>140</v>
      </c>
      <c r="F252" s="100" t="str">
        <f>IFERROR(__xludf.DUMMYFUNCTION("""COMPUTED_VALUE"""),"Mythril Ore")</f>
        <v>Mythril Ore</v>
      </c>
      <c r="G252" s="100" t="str">
        <f>IFERROR(__xludf.DUMMYFUNCTION("""COMPUTED_VALUE"""),"Cavalier Cleaver")</f>
        <v>Cavalier Cleaver</v>
      </c>
      <c r="H252" s="100"/>
    </row>
    <row r="253">
      <c r="A253" s="95"/>
      <c r="B253" s="96" t="str">
        <f>IFERROR(__xludf.DUMMYFUNCTION("""COMPUTED_VALUE"""),"Scourgette")</f>
        <v>Scourgette</v>
      </c>
      <c r="C253" s="101" t="str">
        <f>IFERROR(__xludf.DUMMYFUNCTION("""COMPUTED_VALUE"""),"Nature")</f>
        <v>Nature</v>
      </c>
      <c r="D253" s="101">
        <f>IFERROR(__xludf.DUMMYFUNCTION("""COMPUTED_VALUE"""),521.0)</f>
        <v>521</v>
      </c>
      <c r="E253" s="101">
        <f>IFERROR(__xludf.DUMMYFUNCTION("""COMPUTED_VALUE"""),101.0)</f>
        <v>101</v>
      </c>
      <c r="F253" s="101" t="str">
        <f>IFERROR(__xludf.DUMMYFUNCTION("""COMPUTED_VALUE"""),"Narspicious")</f>
        <v>Narspicious</v>
      </c>
      <c r="G253" s="101" t="str">
        <f>IFERROR(__xludf.DUMMYFUNCTION("""COMPUTED_VALUE"""),"Storm Spear")</f>
        <v>Storm Spear</v>
      </c>
      <c r="H253" s="101"/>
    </row>
    <row r="254">
      <c r="A254" s="92"/>
      <c r="B254" s="93" t="str">
        <f>IFERROR(__xludf.DUMMYFUNCTION("""COMPUTED_VALUE"""),"Lurid Lampling")</f>
        <v>Lurid Lampling</v>
      </c>
      <c r="C254" s="100" t="str">
        <f>IFERROR(__xludf.DUMMYFUNCTION("""COMPUTED_VALUE"""),"Material")</f>
        <v>Material</v>
      </c>
      <c r="D254" s="100">
        <f>IFERROR(__xludf.DUMMYFUNCTION("""COMPUTED_VALUE"""),464.0)</f>
        <v>464</v>
      </c>
      <c r="E254" s="100">
        <f>IFERROR(__xludf.DUMMYFUNCTION("""COMPUTED_VALUE"""),77.0)</f>
        <v>77</v>
      </c>
      <c r="F254" s="100" t="str">
        <f>IFERROR(__xludf.DUMMYFUNCTION("""COMPUTED_VALUE"""),"Lamplight")</f>
        <v>Lamplight</v>
      </c>
      <c r="G254" s="100" t="str">
        <f>IFERROR(__xludf.DUMMYFUNCTION("""COMPUTED_VALUE"""),"Sunny Citrine")</f>
        <v>Sunny Citrine</v>
      </c>
      <c r="H254" s="100"/>
    </row>
    <row r="255">
      <c r="A255" s="95"/>
      <c r="B255" s="96" t="str">
        <f>IFERROR(__xludf.DUMMYFUNCTION("""COMPUTED_VALUE"""),"Cheater Cheetah")</f>
        <v>Cheater Cheetah</v>
      </c>
      <c r="C255" s="101" t="str">
        <f>IFERROR(__xludf.DUMMYFUNCTION("""COMPUTED_VALUE"""),"Humanoid")</f>
        <v>Humanoid</v>
      </c>
      <c r="D255" s="101">
        <f>IFERROR(__xludf.DUMMYFUNCTION("""COMPUTED_VALUE"""),516.0)</f>
        <v>516</v>
      </c>
      <c r="E255" s="101">
        <f>IFERROR(__xludf.DUMMYFUNCTION("""COMPUTED_VALUE"""),112.0)</f>
        <v>112</v>
      </c>
      <c r="F255" s="101" t="str">
        <f>IFERROR(__xludf.DUMMYFUNCTION("""COMPUTED_VALUE"""),"Kitty Litter")</f>
        <v>Kitty Litter</v>
      </c>
      <c r="G255" s="101" t="str">
        <f>IFERROR(__xludf.DUMMYFUNCTION("""COMPUTED_VALUE"""),"Hairy Vest")</f>
        <v>Hairy Vest</v>
      </c>
      <c r="H255" s="101"/>
    </row>
    <row r="256">
      <c r="A256" s="92"/>
      <c r="B256" s="93" t="str">
        <f>IFERROR(__xludf.DUMMYFUNCTION("""COMPUTED_VALUE"""),"Vicious Jockilles")</f>
        <v>Vicious Jockilles</v>
      </c>
      <c r="C256" s="100" t="str">
        <f>IFERROR(__xludf.DUMMYFUNCTION("""COMPUTED_VALUE"""),"Demon")</f>
        <v>Demon</v>
      </c>
      <c r="D256" s="100">
        <f>IFERROR(__xludf.DUMMYFUNCTION("""COMPUTED_VALUE"""),3970.0)</f>
        <v>3970</v>
      </c>
      <c r="E256" s="100">
        <f>IFERROR(__xludf.DUMMYFUNCTION("""COMPUTED_VALUE"""),590.0)</f>
        <v>590</v>
      </c>
      <c r="F256" s="100" t="str">
        <f>IFERROR(__xludf.DUMMYFUNCTION("""COMPUTED_VALUE"""),"Finessence")</f>
        <v>Finessence</v>
      </c>
      <c r="G256" s="100" t="str">
        <f>IFERROR(__xludf.DUMMYFUNCTION("""COMPUTED_VALUE"""),"Seed of Defence")</f>
        <v>Seed of Defence</v>
      </c>
      <c r="H256" s="100" t="str">
        <f>IFERROR(__xludf.DUMMYFUNCTION("""COMPUTED_VALUE"""),"Luminary's Trial (Night)")</f>
        <v>Luminary's Trial (Night)</v>
      </c>
    </row>
    <row r="257">
      <c r="A257" s="95"/>
      <c r="B257" s="96" t="str">
        <f>IFERROR(__xludf.DUMMYFUNCTION("""COMPUTED_VALUE"""),"Bongo Bango")</f>
        <v>Bongo Bango</v>
      </c>
      <c r="C257" s="101" t="str">
        <f>IFERROR(__xludf.DUMMYFUNCTION("""COMPUTED_VALUE"""),"Material")</f>
        <v>Material</v>
      </c>
      <c r="D257" s="101">
        <f>IFERROR(__xludf.DUMMYFUNCTION("""COMPUTED_VALUE"""),546.0)</f>
        <v>546</v>
      </c>
      <c r="E257" s="101">
        <f>IFERROR(__xludf.DUMMYFUNCTION("""COMPUTED_VALUE"""),96.0)</f>
        <v>96</v>
      </c>
      <c r="F257" s="101" t="str">
        <f>IFERROR(__xludf.DUMMYFUNCTION("""COMPUTED_VALUE"""),"Wyrmwood")</f>
        <v>Wyrmwood</v>
      </c>
      <c r="G257" s="101" t="str">
        <f>IFERROR(__xludf.DUMMYFUNCTION("""COMPUTED_VALUE"""),"Fire Wood")</f>
        <v>Fire Wood</v>
      </c>
      <c r="H257" s="101"/>
    </row>
    <row r="258">
      <c r="A258" s="92"/>
      <c r="B258" s="93" t="str">
        <f>IFERROR(__xludf.DUMMYFUNCTION("""COMPUTED_VALUE"""),"Brollygarch")</f>
        <v>Brollygarch</v>
      </c>
      <c r="C258" s="100" t="str">
        <f>IFERROR(__xludf.DUMMYFUNCTION("""COMPUTED_VALUE"""),"Material")</f>
        <v>Material</v>
      </c>
      <c r="D258" s="100">
        <f>IFERROR(__xludf.DUMMYFUNCTION("""COMPUTED_VALUE"""),510.0)</f>
        <v>510</v>
      </c>
      <c r="E258" s="100">
        <f>IFERROR(__xludf.DUMMYFUNCTION("""COMPUTED_VALUE"""),79.0)</f>
        <v>79</v>
      </c>
      <c r="F258" s="100" t="str">
        <f>IFERROR(__xludf.DUMMYFUNCTION("""COMPUTED_VALUE"""),"Cherry Blossom Petal")</f>
        <v>Cherry Blossom Petal</v>
      </c>
      <c r="G258" s="100" t="str">
        <f>IFERROR(__xludf.DUMMYFUNCTION("""COMPUTED_VALUE"""),"Glumbrella")</f>
        <v>Glumbrella</v>
      </c>
      <c r="H258" s="100"/>
    </row>
    <row r="259">
      <c r="A259" s="95"/>
      <c r="B259" s="96" t="str">
        <f>IFERROR(__xludf.DUMMYFUNCTION("""COMPUTED_VALUE"""),"Avarith")</f>
        <v>Avarith</v>
      </c>
      <c r="C259" s="101" t="str">
        <f>IFERROR(__xludf.DUMMYFUNCTION("""COMPUTED_VALUE"""),"Dragon")</f>
        <v>Dragon</v>
      </c>
      <c r="D259" s="101">
        <f>IFERROR(__xludf.DUMMYFUNCTION("""COMPUTED_VALUE"""),9500.0)</f>
        <v>9500</v>
      </c>
      <c r="E259" s="101">
        <f>IFERROR(__xludf.DUMMYFUNCTION("""COMPUTED_VALUE"""),10000.0)</f>
        <v>10000</v>
      </c>
      <c r="F259" s="101" t="str">
        <f>IFERROR(__xludf.DUMMYFUNCTION("""COMPUTED_VALUE"""),"--")</f>
        <v>--</v>
      </c>
      <c r="G259" s="101" t="str">
        <f>IFERROR(__xludf.DUMMYFUNCTION("""COMPUTED_VALUE"""),"--")</f>
        <v>--</v>
      </c>
      <c r="H259" s="101" t="str">
        <f>IFERROR(__xludf.DUMMYFUNCTION("""COMPUTED_VALUE"""),"--")</f>
        <v>--</v>
      </c>
    </row>
    <row r="260">
      <c r="A260" s="92"/>
      <c r="B260" s="93" t="str">
        <f>IFERROR(__xludf.DUMMYFUNCTION("""COMPUTED_VALUE"""),"Vicious Man O' War")</f>
        <v>Vicious Man O' War</v>
      </c>
      <c r="C260" s="100" t="str">
        <f>IFERROR(__xludf.DUMMYFUNCTION("""COMPUTED_VALUE"""),"Nature")</f>
        <v>Nature</v>
      </c>
      <c r="D260" s="100">
        <f>IFERROR(__xludf.DUMMYFUNCTION("""COMPUTED_VALUE"""),1063.0)</f>
        <v>1063</v>
      </c>
      <c r="E260" s="100">
        <f>IFERROR(__xludf.DUMMYFUNCTION("""COMPUTED_VALUE"""),272.0)</f>
        <v>272</v>
      </c>
      <c r="F260" s="100" t="str">
        <f>IFERROR(__xludf.DUMMYFUNCTION("""COMPUTED_VALUE"""),"Moonwort Bulb")</f>
        <v>Moonwort Bulb</v>
      </c>
      <c r="G260" s="100" t="str">
        <f>IFERROR(__xludf.DUMMYFUNCTION("""COMPUTED_VALUE"""),"Softwort")</f>
        <v>Softwort</v>
      </c>
      <c r="H260" s="100" t="str">
        <f>IFERROR(__xludf.DUMMYFUNCTION("""COMPUTED_VALUE"""),"Disciple's Trial - Eerie Valley (Day)")</f>
        <v>Disciple's Trial - Eerie Valley (Day)</v>
      </c>
    </row>
    <row r="261">
      <c r="A261" s="95"/>
      <c r="B261" s="96" t="str">
        <f>IFERROR(__xludf.DUMMYFUNCTION("""COMPUTED_VALUE"""),"Old Man of The Sea")</f>
        <v>Old Man of The Sea</v>
      </c>
      <c r="C261" s="101" t="str">
        <f>IFERROR(__xludf.DUMMYFUNCTION("""COMPUTED_VALUE"""),"Humanoid")</f>
        <v>Humanoid</v>
      </c>
      <c r="D261" s="101">
        <f>IFERROR(__xludf.DUMMYFUNCTION("""COMPUTED_VALUE"""),491.0)</f>
        <v>491</v>
      </c>
      <c r="E261" s="101">
        <f>IFERROR(__xludf.DUMMYFUNCTION("""COMPUTED_VALUE"""),102.0)</f>
        <v>102</v>
      </c>
      <c r="F261" s="101" t="str">
        <f>IFERROR(__xludf.DUMMYFUNCTION("""COMPUTED_VALUE"""),"Thunderball")</f>
        <v>Thunderball</v>
      </c>
      <c r="G261" s="101" t="str">
        <f>IFERROR(__xludf.DUMMYFUNCTION("""COMPUTED_VALUE"""),"Fizzle-Retardant Suit")</f>
        <v>Fizzle-Retardant Suit</v>
      </c>
      <c r="H261" s="101"/>
    </row>
    <row r="262">
      <c r="A262" s="92"/>
      <c r="B262" s="93" t="str">
        <f>IFERROR(__xludf.DUMMYFUNCTION("""COMPUTED_VALUE"""),"King Crab")</f>
        <v>King Crab</v>
      </c>
      <c r="C262" s="100" t="str">
        <f>IFERROR(__xludf.DUMMYFUNCTION("""COMPUTED_VALUE"""),"Nature")</f>
        <v>Nature</v>
      </c>
      <c r="D262" s="100">
        <f>IFERROR(__xludf.DUMMYFUNCTION("""COMPUTED_VALUE"""),815.0)</f>
        <v>815</v>
      </c>
      <c r="E262" s="100">
        <f>IFERROR(__xludf.DUMMYFUNCTION("""COMPUTED_VALUE"""),127.0)</f>
        <v>127</v>
      </c>
      <c r="F262" s="100" t="str">
        <f>IFERROR(__xludf.DUMMYFUNCTION("""COMPUTED_VALUE"""),"Yellow Eye")</f>
        <v>Yellow Eye</v>
      </c>
      <c r="G262" s="100" t="str">
        <f>IFERROR(__xludf.DUMMYFUNCTION("""COMPUTED_VALUE"""),"Sunny Citrine")</f>
        <v>Sunny Citrine</v>
      </c>
      <c r="H262" s="100"/>
    </row>
    <row r="263">
      <c r="A263" s="95"/>
      <c r="B263" s="96" t="str">
        <f>IFERROR(__xludf.DUMMYFUNCTION("""COMPUTED_VALUE"""),"Lobster Mobster")</f>
        <v>Lobster Mobster</v>
      </c>
      <c r="C263" s="101" t="str">
        <f>IFERROR(__xludf.DUMMYFUNCTION("""COMPUTED_VALUE"""),"Nature")</f>
        <v>Nature</v>
      </c>
      <c r="D263" s="101">
        <f>IFERROR(__xludf.DUMMYFUNCTION("""COMPUTED_VALUE"""),1432.0)</f>
        <v>1432</v>
      </c>
      <c r="E263" s="101">
        <f>IFERROR(__xludf.DUMMYFUNCTION("""COMPUTED_VALUE"""),196.0)</f>
        <v>196</v>
      </c>
      <c r="F263" s="101" t="str">
        <f>IFERROR(__xludf.DUMMYFUNCTION("""COMPUTED_VALUE"""),"Red Eye")</f>
        <v>Red Eye</v>
      </c>
      <c r="G263" s="101" t="str">
        <f>IFERROR(__xludf.DUMMYFUNCTION("""COMPUTED_VALUE"""),"Royal Ruby")</f>
        <v>Royal Ruby</v>
      </c>
      <c r="H263" s="101"/>
    </row>
    <row r="264">
      <c r="A264" s="92"/>
      <c r="B264" s="93" t="str">
        <f>IFERROR(__xludf.DUMMYFUNCTION("""COMPUTED_VALUE"""),"Vicious Shell Slime")</f>
        <v>Vicious Shell Slime</v>
      </c>
      <c r="C264" s="100" t="str">
        <f>IFERROR(__xludf.DUMMYFUNCTION("""COMPUTED_VALUE"""),"Slime")</f>
        <v>Slime</v>
      </c>
      <c r="D264" s="100">
        <f>IFERROR(__xludf.DUMMYFUNCTION("""COMPUTED_VALUE"""),1391.0)</f>
        <v>1391</v>
      </c>
      <c r="E264" s="100">
        <f>IFERROR(__xludf.DUMMYFUNCTION("""COMPUTED_VALUE"""),321.0)</f>
        <v>321</v>
      </c>
      <c r="F264" s="100" t="str">
        <f>IFERROR(__xludf.DUMMYFUNCTION("""COMPUTED_VALUE"""),"Sun-Bleached Seashell")</f>
        <v>Sun-Bleached Seashell</v>
      </c>
      <c r="G264" s="100" t="str">
        <f>IFERROR(__xludf.DUMMYFUNCTION("""COMPUTED_VALUE"""),"Pale Pearl")</f>
        <v>Pale Pearl</v>
      </c>
      <c r="H264" s="100" t="str">
        <f>IFERROR(__xludf.DUMMYFUNCTION("""COMPUTED_VALUE"""),"Disciple's Trial - Eerie Valley")</f>
        <v>Disciple's Trial - Eerie Valley</v>
      </c>
    </row>
    <row r="265">
      <c r="A265" s="95"/>
      <c r="B265" s="96" t="str">
        <f>IFERROR(__xludf.DUMMYFUNCTION("""COMPUTED_VALUE"""),"Vicious Succubat")</f>
        <v>Vicious Succubat</v>
      </c>
      <c r="C265" s="101" t="str">
        <f>IFERROR(__xludf.DUMMYFUNCTION("""COMPUTED_VALUE"""),"Bird")</f>
        <v>Bird</v>
      </c>
      <c r="D265" s="101">
        <f>IFERROR(__xludf.DUMMYFUNCTION("""COMPUTED_VALUE"""),1531.0)</f>
        <v>1531</v>
      </c>
      <c r="E265" s="101">
        <f>IFERROR(__xludf.DUMMYFUNCTION("""COMPUTED_VALUE"""),330.0)</f>
        <v>330</v>
      </c>
      <c r="F265" s="101" t="str">
        <f>IFERROR(__xludf.DUMMYFUNCTION("""COMPUTED_VALUE"""),"Wing of Bat")</f>
        <v>Wing of Bat</v>
      </c>
      <c r="G265" s="101" t="str">
        <f>IFERROR(__xludf.DUMMYFUNCTION("""COMPUTED_VALUE"""),"Artful Amethyst")</f>
        <v>Artful Amethyst</v>
      </c>
      <c r="H265" s="101" t="str">
        <f>IFERROR(__xludf.DUMMYFUNCTION("""COMPUTED_VALUE"""),"Luminary's Trial (Night)")</f>
        <v>Luminary's Trial (Night)</v>
      </c>
    </row>
    <row r="266">
      <c r="A266" s="92"/>
      <c r="B266" s="93" t="str">
        <f>IFERROR(__xludf.DUMMYFUNCTION("""COMPUTED_VALUE"""),"Vicious Grublin")</f>
        <v>Vicious Grublin</v>
      </c>
      <c r="C266" s="100" t="str">
        <f>IFERROR(__xludf.DUMMYFUNCTION("""COMPUTED_VALUE"""),"Humanoid")</f>
        <v>Humanoid</v>
      </c>
      <c r="D266" s="100">
        <f>IFERROR(__xludf.DUMMYFUNCTION("""COMPUTED_VALUE"""),1505.0)</f>
        <v>1505</v>
      </c>
      <c r="E266" s="100">
        <f>IFERROR(__xludf.DUMMYFUNCTION("""COMPUTED_VALUE"""),356.0)</f>
        <v>356</v>
      </c>
      <c r="F266" s="100" t="str">
        <f>IFERROR(__xludf.DUMMYFUNCTION("""COMPUTED_VALUE"""),"Bandit Blade")</f>
        <v>Bandit Blade</v>
      </c>
      <c r="G266" s="100" t="str">
        <f>IFERROR(__xludf.DUMMYFUNCTION("""COMPUTED_VALUE"""),"Steel Shield")</f>
        <v>Steel Shield</v>
      </c>
      <c r="H266" s="100" t="str">
        <f>IFERROR(__xludf.DUMMYFUNCTION("""COMPUTED_VALUE"""),"Sage's Trial - Hoarder's Keep (Day)")</f>
        <v>Sage's Trial - Hoarder's Keep (Day)</v>
      </c>
    </row>
    <row r="267">
      <c r="A267" s="105"/>
      <c r="B267" s="96" t="str">
        <f>IFERROR(__xludf.DUMMYFUNCTION("""COMPUTED_VALUE"""),"Ham Shamwitch")</f>
        <v>Ham Shamwitch</v>
      </c>
      <c r="C267" s="101" t="str">
        <f>IFERROR(__xludf.DUMMYFUNCTION("""COMPUTED_VALUE"""),"Beast")</f>
        <v>Beast</v>
      </c>
      <c r="D267" s="101">
        <f>IFERROR(__xludf.DUMMYFUNCTION("""COMPUTED_VALUE"""),540.0)</f>
        <v>540</v>
      </c>
      <c r="E267" s="101">
        <f>IFERROR(__xludf.DUMMYFUNCTION("""COMPUTED_VALUE"""),105.0)</f>
        <v>105</v>
      </c>
      <c r="F267" s="101" t="str">
        <f>IFERROR(__xludf.DUMMYFUNCTION("""COMPUTED_VALUE"""),"Magic Beast Hide")</f>
        <v>Magic Beast Hide</v>
      </c>
      <c r="G267" s="101" t="str">
        <f>IFERROR(__xludf.DUMMYFUNCTION("""COMPUTED_VALUE"""),"Happy Hat")</f>
        <v>Happy Hat</v>
      </c>
      <c r="H267" s="101"/>
    </row>
    <row r="268">
      <c r="A268" s="106" t="str">
        <f>IFERROR(__xludf.DUMMYFUNCTION("""COMPUTED_VALUE"""),"P14")</f>
        <v>P14</v>
      </c>
      <c r="B268" s="93" t="str">
        <f>IFERROR(__xludf.DUMMYFUNCTION("""COMPUTED_VALUE"""),"Vicious Tap Devil")</f>
        <v>Vicious Tap Devil</v>
      </c>
      <c r="C268" s="100" t="str">
        <f>IFERROR(__xludf.DUMMYFUNCTION("""COMPUTED_VALUE"""),"Demon")</f>
        <v>Demon</v>
      </c>
      <c r="D268" s="100">
        <f>IFERROR(__xludf.DUMMYFUNCTION("""COMPUTED_VALUE"""),1246.0)</f>
        <v>1246</v>
      </c>
      <c r="E268" s="100">
        <f>IFERROR(__xludf.DUMMYFUNCTION("""COMPUTED_VALUE"""),321.0)</f>
        <v>321</v>
      </c>
      <c r="F268" s="100" t="str">
        <f>IFERROR(__xludf.DUMMYFUNCTION("""COMPUTED_VALUE"""),"Leather Cape")</f>
        <v>Leather Cape</v>
      </c>
      <c r="G268" s="100" t="str">
        <f>IFERROR(__xludf.DUMMYFUNCTION("""COMPUTED_VALUE"""),"Devil's Tail")</f>
        <v>Devil's Tail</v>
      </c>
      <c r="H268" s="100" t="str">
        <f>IFERROR(__xludf.DUMMYFUNCTION("""COMPUTED_VALUE"""),"Luminary's Trial (Day)")</f>
        <v>Luminary's Trial (Day)</v>
      </c>
    </row>
    <row r="269">
      <c r="A269" s="95"/>
      <c r="B269" s="96" t="str">
        <f>IFERROR(__xludf.DUMMYFUNCTION("""COMPUTED_VALUE"""),"Vicious Raven Lunatic")</f>
        <v>Vicious Raven Lunatic</v>
      </c>
      <c r="C269" s="101" t="str">
        <f>IFERROR(__xludf.DUMMYFUNCTION("""COMPUTED_VALUE"""),"Bird")</f>
        <v>Bird</v>
      </c>
      <c r="D269" s="101">
        <f>IFERROR(__xludf.DUMMYFUNCTION("""COMPUTED_VALUE"""),1268.0)</f>
        <v>1268</v>
      </c>
      <c r="E269" s="101">
        <f>IFERROR(__xludf.DUMMYFUNCTION("""COMPUTED_VALUE"""),326.0)</f>
        <v>326</v>
      </c>
      <c r="F269" s="101" t="str">
        <f>IFERROR(__xludf.DUMMYFUNCTION("""COMPUTED_VALUE"""),"Beast Bone")</f>
        <v>Beast Bone</v>
      </c>
      <c r="G269" s="101" t="str">
        <f>IFERROR(__xludf.DUMMYFUNCTION("""COMPUTED_VALUE"""),"Seed of Agility")</f>
        <v>Seed of Agility</v>
      </c>
      <c r="H269" s="101" t="str">
        <f>IFERROR(__xludf.DUMMYFUNCTION("""COMPUTED_VALUE"""),"Sage's Trial - Fierce Forest (Day)")</f>
        <v>Sage's Trial - Fierce Forest (Day)</v>
      </c>
    </row>
    <row r="270">
      <c r="A270" s="92"/>
      <c r="B270" s="93" t="str">
        <f>IFERROR(__xludf.DUMMYFUNCTION("""COMPUTED_VALUE"""),"Masqueraider")</f>
        <v>Masqueraider</v>
      </c>
      <c r="C270" s="100" t="str">
        <f>IFERROR(__xludf.DUMMYFUNCTION("""COMPUTED_VALUE"""),"Machine")</f>
        <v>Machine</v>
      </c>
      <c r="D270" s="100">
        <f>IFERROR(__xludf.DUMMYFUNCTION("""COMPUTED_VALUE"""),612.0)</f>
        <v>612</v>
      </c>
      <c r="E270" s="100">
        <f>IFERROR(__xludf.DUMMYFUNCTION("""COMPUTED_VALUE"""),104.0)</f>
        <v>104</v>
      </c>
      <c r="F270" s="100" t="str">
        <f>IFERROR(__xludf.DUMMYFUNCTION("""COMPUTED_VALUE"""),"Mythril Ore")</f>
        <v>Mythril Ore</v>
      </c>
      <c r="G270" s="100" t="str">
        <f>IFERROR(__xludf.DUMMYFUNCTION("""COMPUTED_VALUE"""),"Savvy Sapphire")</f>
        <v>Savvy Sapphire</v>
      </c>
      <c r="H270" s="100"/>
    </row>
    <row r="271">
      <c r="A271" s="95"/>
      <c r="B271" s="96" t="str">
        <f>IFERROR(__xludf.DUMMYFUNCTION("""COMPUTED_VALUE"""),"Gold Drohl")</f>
        <v>Gold Drohl</v>
      </c>
      <c r="C271" s="101" t="str">
        <f>IFERROR(__xludf.DUMMYFUNCTION("""COMPUTED_VALUE"""),"Undead")</f>
        <v>Undead</v>
      </c>
      <c r="D271" s="101">
        <f>IFERROR(__xludf.DUMMYFUNCTION("""COMPUTED_VALUE"""),905.0)</f>
        <v>905</v>
      </c>
      <c r="E271" s="101">
        <f>IFERROR(__xludf.DUMMYFUNCTION("""COMPUTED_VALUE"""),295.0)</f>
        <v>295</v>
      </c>
      <c r="F271" s="101" t="str">
        <f>IFERROR(__xludf.DUMMYFUNCTION("""COMPUTED_VALUE"""),"Magic Water")</f>
        <v>Magic Water</v>
      </c>
      <c r="G271" s="101" t="str">
        <f>IFERROR(__xludf.DUMMYFUNCTION("""COMPUTED_VALUE"""),"God Nuglet")</f>
        <v>God Nuglet</v>
      </c>
      <c r="H271" s="101"/>
    </row>
    <row r="272">
      <c r="A272" s="92"/>
      <c r="B272" s="93" t="str">
        <f>IFERROR(__xludf.DUMMYFUNCTION("""COMPUTED_VALUE"""),"Hoodlum")</f>
        <v>Hoodlum</v>
      </c>
      <c r="C272" s="100" t="str">
        <f>IFERROR(__xludf.DUMMYFUNCTION("""COMPUTED_VALUE"""),"Humanoid")</f>
        <v>Humanoid</v>
      </c>
      <c r="D272" s="100">
        <f>IFERROR(__xludf.DUMMYFUNCTION("""COMPUTED_VALUE"""),687.0)</f>
        <v>687</v>
      </c>
      <c r="E272" s="100">
        <f>IFERROR(__xludf.DUMMYFUNCTION("""COMPUTED_VALUE"""),161.0)</f>
        <v>161</v>
      </c>
      <c r="F272" s="100" t="str">
        <f>IFERROR(__xludf.DUMMYFUNCTION("""COMPUTED_VALUE"""),"Tough Guy Tattoo")</f>
        <v>Tough Guy Tattoo</v>
      </c>
      <c r="G272" s="100" t="str">
        <f>IFERROR(__xludf.DUMMYFUNCTION("""COMPUTED_VALUE"""),"Obliteratoriser")</f>
        <v>Obliteratoriser</v>
      </c>
      <c r="H272" s="100"/>
    </row>
    <row r="273">
      <c r="A273" s="95"/>
      <c r="B273" s="96" t="str">
        <f>IFERROR(__xludf.DUMMYFUNCTION("""COMPUTED_VALUE"""),"Vicious Troll")</f>
        <v>Vicious Troll</v>
      </c>
      <c r="C273" s="101" t="str">
        <f>IFERROR(__xludf.DUMMYFUNCTION("""COMPUTED_VALUE"""),"Demon")</f>
        <v>Demon</v>
      </c>
      <c r="D273" s="101">
        <f>IFERROR(__xludf.DUMMYFUNCTION("""COMPUTED_VALUE"""),3267.0)</f>
        <v>3267</v>
      </c>
      <c r="E273" s="101">
        <f>IFERROR(__xludf.DUMMYFUNCTION("""COMPUTED_VALUE"""),528.0)</f>
        <v>528</v>
      </c>
      <c r="F273" s="101" t="str">
        <f>IFERROR(__xludf.DUMMYFUNCTION("""COMPUTED_VALUE"""),"Tough Guy Tattoo")</f>
        <v>Tough Guy Tattoo</v>
      </c>
      <c r="G273" s="101" t="str">
        <f>IFERROR(__xludf.DUMMYFUNCTION("""COMPUTED_VALUE"""),"Seed of Strength")</f>
        <v>Seed of Strength</v>
      </c>
      <c r="H273" s="101" t="str">
        <f>IFERROR(__xludf.DUMMYFUNCTION("""COMPUTED_VALUE"""),"Disciple's Trial - Cruel Crypt")</f>
        <v>Disciple's Trial - Cruel Crypt</v>
      </c>
    </row>
    <row r="274">
      <c r="A274" s="92"/>
      <c r="B274" s="93" t="str">
        <f>IFERROR(__xludf.DUMMYFUNCTION("""COMPUTED_VALUE"""),"Vicious Orc")</f>
        <v>Vicious Orc</v>
      </c>
      <c r="C274" s="100" t="str">
        <f>IFERROR(__xludf.DUMMYFUNCTION("""COMPUTED_VALUE"""),"Beast")</f>
        <v>Beast</v>
      </c>
      <c r="D274" s="100">
        <f>IFERROR(__xludf.DUMMYFUNCTION("""COMPUTED_VALUE"""),2800.0)</f>
        <v>2800</v>
      </c>
      <c r="E274" s="100">
        <f>IFERROR(__xludf.DUMMYFUNCTION("""COMPUTED_VALUE"""),314.0)</f>
        <v>314</v>
      </c>
      <c r="F274" s="100" t="str">
        <f>IFERROR(__xludf.DUMMYFUNCTION("""COMPUTED_VALUE"""),"Special Medicine")</f>
        <v>Special Medicine</v>
      </c>
      <c r="G274" s="100" t="str">
        <f>IFERROR(__xludf.DUMMYFUNCTION("""COMPUTED_VALUE"""),"Iron Lance")</f>
        <v>Iron Lance</v>
      </c>
      <c r="H274" s="100" t="str">
        <f>IFERROR(__xludf.DUMMYFUNCTION("""COMPUTED_VALUE"""),"Sage's Trial - Fierce Forest (Day)")</f>
        <v>Sage's Trial - Fierce Forest (Day)</v>
      </c>
    </row>
    <row r="275">
      <c r="A275" s="95"/>
      <c r="B275" s="96" t="str">
        <f>IFERROR(__xludf.DUMMYFUNCTION("""COMPUTED_VALUE"""),"Vicious Stump Grump")</f>
        <v>Vicious Stump Grump</v>
      </c>
      <c r="C275" s="101" t="str">
        <f>IFERROR(__xludf.DUMMYFUNCTION("""COMPUTED_VALUE"""),"Nature")</f>
        <v>Nature</v>
      </c>
      <c r="D275" s="101">
        <f>IFERROR(__xludf.DUMMYFUNCTION("""COMPUTED_VALUE"""),1547.0)</f>
        <v>1547</v>
      </c>
      <c r="E275" s="101">
        <f>IFERROR(__xludf.DUMMYFUNCTION("""COMPUTED_VALUE"""),323.0)</f>
        <v>323</v>
      </c>
      <c r="F275" s="101" t="str">
        <f>IFERROR(__xludf.DUMMYFUNCTION("""COMPUTED_VALUE"""),"Special Medicine")</f>
        <v>Special Medicine</v>
      </c>
      <c r="G275" s="101" t="str">
        <f>IFERROR(__xludf.DUMMYFUNCTION("""COMPUTED_VALUE"""),"Glimmergrass")</f>
        <v>Glimmergrass</v>
      </c>
      <c r="H275" s="101" t="str">
        <f>IFERROR(__xludf.DUMMYFUNCTION("""COMPUTED_VALUE"""),"Sage's Trial - Fierce Forest (Night)")</f>
        <v>Sage's Trial - Fierce Forest (Night)</v>
      </c>
    </row>
    <row r="276">
      <c r="A276" s="92"/>
      <c r="B276" s="93" t="str">
        <f>IFERROR(__xludf.DUMMYFUNCTION("""COMPUTED_VALUE"""),"Cosmic Chimaera")</f>
        <v>Cosmic Chimaera</v>
      </c>
      <c r="C276" s="100" t="str">
        <f>IFERROR(__xludf.DUMMYFUNCTION("""COMPUTED_VALUE"""),"Bird")</f>
        <v>Bird</v>
      </c>
      <c r="D276" s="100">
        <f>IFERROR(__xludf.DUMMYFUNCTION("""COMPUTED_VALUE"""),561.0)</f>
        <v>561</v>
      </c>
      <c r="E276" s="100">
        <f>IFERROR(__xludf.DUMMYFUNCTION("""COMPUTED_VALUE"""),108.0)</f>
        <v>108</v>
      </c>
      <c r="F276" s="100" t="str">
        <f>IFERROR(__xludf.DUMMYFUNCTION("""COMPUTED_VALUE"""),"Brighten Rock")</f>
        <v>Brighten Rock</v>
      </c>
      <c r="G276" s="100" t="str">
        <f>IFERROR(__xludf.DUMMYFUNCTION("""COMPUTED_VALUE"""),"Lucida Shard")</f>
        <v>Lucida Shard</v>
      </c>
      <c r="H276" s="100"/>
    </row>
    <row r="277">
      <c r="A277" s="95"/>
      <c r="B277" s="103" t="str">
        <f>IFERROR(__xludf.DUMMYFUNCTION("""COMPUTED_VALUE"""),"Lunar Chimaera (Rarefied)")</f>
        <v>Lunar Chimaera (Rarefied)</v>
      </c>
      <c r="C277" s="96" t="str">
        <f>IFERROR(__xludf.DUMMYFUNCTION("""COMPUTED_VALUE"""),"Bird")</f>
        <v>Bird</v>
      </c>
      <c r="D277" s="96">
        <f>IFERROR(__xludf.DUMMYFUNCTION("""COMPUTED_VALUE"""),3302.0)</f>
        <v>3302</v>
      </c>
      <c r="E277" s="96">
        <f>IFERROR(__xludf.DUMMYFUNCTION("""COMPUTED_VALUE"""),670.0)</f>
        <v>670</v>
      </c>
      <c r="F277" s="96" t="str">
        <f>IFERROR(__xludf.DUMMYFUNCTION("""COMPUTED_VALUE"""),"Yggdrasil Leaf")</f>
        <v>Yggdrasil Leaf</v>
      </c>
      <c r="G277" s="96" t="str">
        <f>IFERROR(__xludf.DUMMYFUNCTION("""COMPUTED_VALUE"""),"Ruby of Protection")</f>
        <v>Ruby of Protection</v>
      </c>
      <c r="H277" s="96" t="str">
        <f>IFERROR(__xludf.DUMMYFUNCTION("""COMPUTED_VALUE"""),"Disciple's Trial - Eerie Valley (Night): near entrance, rare Vicious Cosmic Chimaera")</f>
        <v>Disciple's Trial - Eerie Valley (Night): near entrance, rare Vicious Cosmic Chimaera</v>
      </c>
    </row>
    <row r="278">
      <c r="A278" s="92"/>
      <c r="B278" s="93" t="str">
        <f>IFERROR(__xludf.DUMMYFUNCTION("""COMPUTED_VALUE"""),"Silhouette")</f>
        <v>Silhouette</v>
      </c>
      <c r="C278" s="100" t="str">
        <f>IFERROR(__xludf.DUMMYFUNCTION("""COMPUTED_VALUE"""),"Elemental")</f>
        <v>Elemental</v>
      </c>
      <c r="D278" s="100">
        <f>IFERROR(__xludf.DUMMYFUNCTION("""COMPUTED_VALUE"""),654.0)</f>
        <v>654</v>
      </c>
      <c r="E278" s="100">
        <f>IFERROR(__xludf.DUMMYFUNCTION("""COMPUTED_VALUE"""),110.0)</f>
        <v>110</v>
      </c>
      <c r="F278" s="100" t="str">
        <f>IFERROR(__xludf.DUMMYFUNCTION("""COMPUTED_VALUE"""),"Mystifying Mixture")</f>
        <v>Mystifying Mixture</v>
      </c>
      <c r="G278" s="100" t="str">
        <f>IFERROR(__xludf.DUMMYFUNCTION("""COMPUTED_VALUE"""),"Saint's Ashes")</f>
        <v>Saint's Ashes</v>
      </c>
      <c r="H278" s="100"/>
    </row>
    <row r="279">
      <c r="A279" s="95"/>
      <c r="B279" s="96" t="str">
        <f>IFERROR(__xludf.DUMMYFUNCTION("""COMPUTED_VALUE"""),"Headless Horseman")</f>
        <v>Headless Horseman</v>
      </c>
      <c r="C279" s="101" t="str">
        <f>IFERROR(__xludf.DUMMYFUNCTION("""COMPUTED_VALUE"""),"Undead")</f>
        <v>Undead</v>
      </c>
      <c r="D279" s="101">
        <f>IFERROR(__xludf.DUMMYFUNCTION("""COMPUTED_VALUE"""),1111.0)</f>
        <v>1111</v>
      </c>
      <c r="E279" s="101">
        <f>IFERROR(__xludf.DUMMYFUNCTION("""COMPUTED_VALUE"""),190.0)</f>
        <v>190</v>
      </c>
      <c r="F279" s="101" t="str">
        <f>IFERROR(__xludf.DUMMYFUNCTION("""COMPUTED_VALUE"""),"Equable Emerald")</f>
        <v>Equable Emerald</v>
      </c>
      <c r="G279" s="101" t="str">
        <f>IFERROR(__xludf.DUMMYFUNCTION("""COMPUTED_VALUE"""),"Platinum Shield")</f>
        <v>Platinum Shield</v>
      </c>
      <c r="H279" s="101"/>
    </row>
    <row r="280">
      <c r="A280" s="92"/>
      <c r="B280" s="93" t="str">
        <f>IFERROR(__xludf.DUMMYFUNCTION("""COMPUTED_VALUE"""),"Whackolyte")</f>
        <v>Whackolyte</v>
      </c>
      <c r="C280" s="100" t="str">
        <f>IFERROR(__xludf.DUMMYFUNCTION("""COMPUTED_VALUE"""),"Demon")</f>
        <v>Demon</v>
      </c>
      <c r="D280" s="100">
        <f>IFERROR(__xludf.DUMMYFUNCTION("""COMPUTED_VALUE"""),680.0)</f>
        <v>680</v>
      </c>
      <c r="E280" s="100">
        <f>IFERROR(__xludf.DUMMYFUNCTION("""COMPUTED_VALUE"""),148.0)</f>
        <v>148</v>
      </c>
      <c r="F280" s="100" t="str">
        <f>IFERROR(__xludf.DUMMYFUNCTION("""COMPUTED_VALUE"""),"Wizard's Staff")</f>
        <v>Wizard's Staff</v>
      </c>
      <c r="G280" s="100" t="str">
        <f>IFERROR(__xludf.DUMMYFUNCTION("""COMPUTED_VALUE"""),"Minister's Mitre")</f>
        <v>Minister's Mitre</v>
      </c>
      <c r="H280" s="100"/>
    </row>
    <row r="281">
      <c r="A281" s="95"/>
      <c r="B281" s="96" t="str">
        <f>IFERROR(__xludf.DUMMYFUNCTION("""COMPUTED_VALUE"""),"Vicious Toxic Zombie")</f>
        <v>Vicious Toxic Zombie</v>
      </c>
      <c r="C281" s="101" t="str">
        <f>IFERROR(__xludf.DUMMYFUNCTION("""COMPUTED_VALUE"""),"Undead")</f>
        <v>Undead</v>
      </c>
      <c r="D281" s="101">
        <f>IFERROR(__xludf.DUMMYFUNCTION("""COMPUTED_VALUE"""),1213.0)</f>
        <v>1213</v>
      </c>
      <c r="E281" s="101">
        <f>IFERROR(__xludf.DUMMYFUNCTION("""COMPUTED_VALUE"""),338.0)</f>
        <v>338</v>
      </c>
      <c r="F281" s="101" t="str">
        <f>IFERROR(__xludf.DUMMYFUNCTION("""COMPUTED_VALUE"""),"Mystifying Mixture")</f>
        <v>Mystifying Mixture</v>
      </c>
      <c r="G281" s="101" t="str">
        <f>IFERROR(__xludf.DUMMYFUNCTION("""COMPUTED_VALUE"""),"Drasilian Guinea")</f>
        <v>Drasilian Guinea</v>
      </c>
      <c r="H281" s="101" t="str">
        <f>IFERROR(__xludf.DUMMYFUNCTION("""COMPUTED_VALUE"""),"Disciple's Trial - Cruel Crypt (Night)")</f>
        <v>Disciple's Trial - Cruel Crypt (Night)</v>
      </c>
    </row>
    <row r="282">
      <c r="A282" s="92"/>
      <c r="B282" s="93" t="str">
        <f>IFERROR(__xludf.DUMMYFUNCTION("""COMPUTED_VALUE"""),"Vicious Horknight")</f>
        <v>Vicious Horknight</v>
      </c>
      <c r="C282" s="100" t="str">
        <f>IFERROR(__xludf.DUMMYFUNCTION("""COMPUTED_VALUE"""),"Humanoid")</f>
        <v>Humanoid</v>
      </c>
      <c r="D282" s="100">
        <f>IFERROR(__xludf.DUMMYFUNCTION("""COMPUTED_VALUE"""),1620.0)</f>
        <v>1620</v>
      </c>
      <c r="E282" s="100">
        <f>IFERROR(__xludf.DUMMYFUNCTION("""COMPUTED_VALUE"""),327.0)</f>
        <v>327</v>
      </c>
      <c r="F282" s="100" t="str">
        <f>IFERROR(__xludf.DUMMYFUNCTION("""COMPUTED_VALUE"""),"Butterfly Wing")</f>
        <v>Butterfly Wing</v>
      </c>
      <c r="G282" s="100" t="str">
        <f>IFERROR(__xludf.DUMMYFUNCTION("""COMPUTED_VALUE"""),"Yellow Eye")</f>
        <v>Yellow Eye</v>
      </c>
      <c r="H282" s="100" t="str">
        <f>IFERROR(__xludf.DUMMYFUNCTION("""COMPUTED_VALUE"""),"Sage's Trial - Fierce Forest (Night)")</f>
        <v>Sage's Trial - Fierce Forest (Night)</v>
      </c>
    </row>
    <row r="283">
      <c r="A283" s="95"/>
      <c r="B283" s="96" t="str">
        <f>IFERROR(__xludf.DUMMYFUNCTION("""COMPUTED_VALUE"""),"Vicious Green Dragon")</f>
        <v>Vicious Green Dragon</v>
      </c>
      <c r="C283" s="101" t="str">
        <f>IFERROR(__xludf.DUMMYFUNCTION("""COMPUTED_VALUE"""),"Dragon")</f>
        <v>Dragon</v>
      </c>
      <c r="D283" s="101">
        <f>IFERROR(__xludf.DUMMYFUNCTION("""COMPUTED_VALUE"""),3515.0)</f>
        <v>3515</v>
      </c>
      <c r="E283" s="101">
        <f>IFERROR(__xludf.DUMMYFUNCTION("""COMPUTED_VALUE"""),562.0)</f>
        <v>562</v>
      </c>
      <c r="F283" s="101" t="str">
        <f>IFERROR(__xludf.DUMMYFUNCTION("""COMPUTED_VALUE"""),"Dragon Hide")</f>
        <v>Dragon Hide</v>
      </c>
      <c r="G283" s="101" t="str">
        <f>IFERROR(__xludf.DUMMYFUNCTION("""COMPUTED_VALUE"""),"Dragon Horn")</f>
        <v>Dragon Horn</v>
      </c>
      <c r="H283" s="101" t="str">
        <f>IFERROR(__xludf.DUMMYFUNCTION("""COMPUTED_VALUE"""),"Drustan's Labyrinth - Trial Isle (Day)")</f>
        <v>Drustan's Labyrinth - Trial Isle (Day)</v>
      </c>
    </row>
    <row r="284">
      <c r="A284" s="92"/>
      <c r="B284" s="93" t="str">
        <f>IFERROR(__xludf.DUMMYFUNCTION("""COMPUTED_VALUE"""),"Liege Lizard")</f>
        <v>Liege Lizard</v>
      </c>
      <c r="C284" s="100" t="str">
        <f>IFERROR(__xludf.DUMMYFUNCTION("""COMPUTED_VALUE"""),"Dragon")</f>
        <v>Dragon</v>
      </c>
      <c r="D284" s="100">
        <f>IFERROR(__xludf.DUMMYFUNCTION("""COMPUTED_VALUE"""),2864.0)</f>
        <v>2864</v>
      </c>
      <c r="E284" s="100">
        <f>IFERROR(__xludf.DUMMYFUNCTION("""COMPUTED_VALUE"""),265.0)</f>
        <v>265</v>
      </c>
      <c r="F284" s="100" t="str">
        <f>IFERROR(__xludf.DUMMYFUNCTION("""COMPUTED_VALUE"""),"Dragon Hide")</f>
        <v>Dragon Hide</v>
      </c>
      <c r="G284" s="100" t="str">
        <f>IFERROR(__xludf.DUMMYFUNCTION("""COMPUTED_VALUE"""),"Lucky Dragon's Wing")</f>
        <v>Lucky Dragon's Wing</v>
      </c>
      <c r="H284" s="100"/>
    </row>
    <row r="285">
      <c r="A285" s="95"/>
      <c r="B285" s="96" t="str">
        <f>IFERROR(__xludf.DUMMYFUNCTION("""COMPUTED_VALUE"""),"Vicious Liquid Metal Slime")</f>
        <v>Vicious Liquid Metal Slime</v>
      </c>
      <c r="C285" s="101" t="str">
        <f>IFERROR(__xludf.DUMMYFUNCTION("""COMPUTED_VALUE"""),"Slime")</f>
        <v>Slime</v>
      </c>
      <c r="D285" s="101">
        <f>IFERROR(__xludf.DUMMYFUNCTION("""COMPUTED_VALUE"""),80640.0)</f>
        <v>80640</v>
      </c>
      <c r="E285" s="101">
        <f>IFERROR(__xludf.DUMMYFUNCTION("""COMPUTED_VALUE"""),343.0)</f>
        <v>343</v>
      </c>
      <c r="F285" s="101" t="str">
        <f>IFERROR(__xludf.DUMMYFUNCTION("""COMPUTED_VALUE"""),"Molten Globules")</f>
        <v>Molten Globules</v>
      </c>
      <c r="G285" s="101" t="str">
        <f>IFERROR(__xludf.DUMMYFUNCTION("""COMPUTED_VALUE"""),"Happy Hat")</f>
        <v>Happy Hat</v>
      </c>
      <c r="H285" s="101" t="str">
        <f>IFERROR(__xludf.DUMMYFUNCTION("""COMPUTED_VALUE"""),"Disciple's Trial - Cruel Crypt")</f>
        <v>Disciple's Trial - Cruel Crypt</v>
      </c>
    </row>
    <row r="286">
      <c r="A286" s="92"/>
      <c r="B286" s="93" t="str">
        <f>IFERROR(__xludf.DUMMYFUNCTION("""COMPUTED_VALUE"""),"Restless Knight")</f>
        <v>Restless Knight</v>
      </c>
      <c r="C286" s="100" t="str">
        <f>IFERROR(__xludf.DUMMYFUNCTION("""COMPUTED_VALUE"""),"???")</f>
        <v>???</v>
      </c>
      <c r="D286" s="100">
        <f>IFERROR(__xludf.DUMMYFUNCTION("""COMPUTED_VALUE"""),4000.0)</f>
        <v>4000</v>
      </c>
      <c r="E286" s="100">
        <f>IFERROR(__xludf.DUMMYFUNCTION("""COMPUTED_VALUE"""),3000.0)</f>
        <v>3000</v>
      </c>
      <c r="F286" s="100" t="str">
        <f>IFERROR(__xludf.DUMMYFUNCTION("""COMPUTED_VALUE"""),"--")</f>
        <v>--</v>
      </c>
      <c r="G286" s="100" t="str">
        <f>IFERROR(__xludf.DUMMYFUNCTION("""COMPUTED_VALUE"""),"--")</f>
        <v>--</v>
      </c>
      <c r="H286" s="100" t="str">
        <f>IFERROR(__xludf.DUMMYFUNCTION("""COMPUTED_VALUE"""),"--")</f>
        <v>--</v>
      </c>
    </row>
    <row r="287">
      <c r="A287" s="105"/>
      <c r="B287" s="96" t="str">
        <f>IFERROR(__xludf.DUMMYFUNCTION("""COMPUTED_VALUE"""),"Hyperpyrexion")</f>
        <v>Hyperpyrexion</v>
      </c>
      <c r="C287" s="101" t="str">
        <f>IFERROR(__xludf.DUMMYFUNCTION("""COMPUTED_VALUE"""),"Demon")</f>
        <v>Demon</v>
      </c>
      <c r="D287" s="101">
        <f>IFERROR(__xludf.DUMMYFUNCTION("""COMPUTED_VALUE"""),1475.0)</f>
        <v>1475</v>
      </c>
      <c r="E287" s="101">
        <f>IFERROR(__xludf.DUMMYFUNCTION("""COMPUTED_VALUE"""),303.0)</f>
        <v>303</v>
      </c>
      <c r="F287" s="101" t="str">
        <f>IFERROR(__xludf.DUMMYFUNCTION("""COMPUTED_VALUE"""),"Twisted Talons")</f>
        <v>Twisted Talons</v>
      </c>
      <c r="G287" s="101" t="str">
        <f>IFERROR(__xludf.DUMMYFUNCTION("""COMPUTED_VALUE"""),"Metal Slime Sword")</f>
        <v>Metal Slime Sword</v>
      </c>
      <c r="H287" s="101"/>
    </row>
    <row r="288">
      <c r="A288" s="106" t="str">
        <f>IFERROR(__xludf.DUMMYFUNCTION("""COMPUTED_VALUE"""),"P15")</f>
        <v>P15</v>
      </c>
      <c r="B288" s="93" t="str">
        <f>IFERROR(__xludf.DUMMYFUNCTION("""COMPUTED_VALUE"""),"Barbatos")</f>
        <v>Barbatos</v>
      </c>
      <c r="C288" s="100" t="str">
        <f>IFERROR(__xludf.DUMMYFUNCTION("""COMPUTED_VALUE"""),"Demon")</f>
        <v>Demon</v>
      </c>
      <c r="D288" s="100">
        <f>IFERROR(__xludf.DUMMYFUNCTION("""COMPUTED_VALUE"""),1635.0)</f>
        <v>1635</v>
      </c>
      <c r="E288" s="100">
        <f>IFERROR(__xludf.DUMMYFUNCTION("""COMPUTED_VALUE"""),319.0)</f>
        <v>319</v>
      </c>
      <c r="F288" s="100" t="str">
        <f>IFERROR(__xludf.DUMMYFUNCTION("""COMPUTED_VALUE"""),"Devil's Tail")</f>
        <v>Devil's Tail</v>
      </c>
      <c r="G288" s="100" t="str">
        <f>IFERROR(__xludf.DUMMYFUNCTION("""COMPUTED_VALUE"""),"Hell Sabre")</f>
        <v>Hell Sabre</v>
      </c>
      <c r="H288" s="100" t="str">
        <f>IFERROR(__xludf.DUMMYFUNCTION("""COMPUTED_VALUE"""),"Mount Huji, Champs Sauvage - Whale Way Station")</f>
        <v>Mount Huji, Champs Sauvage - Whale Way Station</v>
      </c>
    </row>
    <row r="289">
      <c r="A289" s="95"/>
      <c r="B289" s="96" t="str">
        <f>IFERROR(__xludf.DUMMYFUNCTION("""COMPUTED_VALUE"""),"Gloomnivore")</f>
        <v>Gloomnivore</v>
      </c>
      <c r="C289" s="101" t="str">
        <f>IFERROR(__xludf.DUMMYFUNCTION("""COMPUTED_VALUE"""),"Beast")</f>
        <v>Beast</v>
      </c>
      <c r="D289" s="101">
        <f>IFERROR(__xludf.DUMMYFUNCTION("""COMPUTED_VALUE"""),12000.0)</f>
        <v>12000</v>
      </c>
      <c r="E289" s="101">
        <f>IFERROR(__xludf.DUMMYFUNCTION("""COMPUTED_VALUE"""),8000.0)</f>
        <v>8000</v>
      </c>
      <c r="F289" s="101" t="str">
        <f>IFERROR(__xludf.DUMMYFUNCTION("""COMPUTED_VALUE"""),"--")</f>
        <v>--</v>
      </c>
      <c r="G289" s="101" t="str">
        <f>IFERROR(__xludf.DUMMYFUNCTION("""COMPUTED_VALUE"""),"--")</f>
        <v>--</v>
      </c>
      <c r="H289" s="101" t="str">
        <f>IFERROR(__xludf.DUMMYFUNCTION("""COMPUTED_VALUE"""),"--")</f>
        <v>--</v>
      </c>
    </row>
    <row r="290">
      <c r="A290" s="92"/>
      <c r="B290" s="93" t="str">
        <f>IFERROR(__xludf.DUMMYFUNCTION("""COMPUTED_VALUE"""),"Vicious Fandangow")</f>
        <v>Vicious Fandangow</v>
      </c>
      <c r="C290" s="100" t="str">
        <f>IFERROR(__xludf.DUMMYFUNCTION("""COMPUTED_VALUE"""),"Nature")</f>
        <v>Nature</v>
      </c>
      <c r="D290" s="100">
        <f>IFERROR(__xludf.DUMMYFUNCTION("""COMPUTED_VALUE"""),1265.0)</f>
        <v>1265</v>
      </c>
      <c r="E290" s="100">
        <f>IFERROR(__xludf.DUMMYFUNCTION("""COMPUTED_VALUE"""),244.0)</f>
        <v>244</v>
      </c>
      <c r="F290" s="100" t="str">
        <f>IFERROR(__xludf.DUMMYFUNCTION("""COMPUTED_VALUE"""),"Faerie Fluff")</f>
        <v>Faerie Fluff</v>
      </c>
      <c r="G290" s="100" t="str">
        <f>IFERROR(__xludf.DUMMYFUNCTION("""COMPUTED_VALUE"""),"Poison Needle")</f>
        <v>Poison Needle</v>
      </c>
      <c r="H290" s="100" t="str">
        <f>IFERROR(__xludf.DUMMYFUNCTION("""COMPUTED_VALUE"""),"Disciple's Trial - Eerie Valley (Night)")</f>
        <v>Disciple's Trial - Eerie Valley (Night)</v>
      </c>
    </row>
    <row r="291">
      <c r="A291" s="95"/>
      <c r="B291" s="96" t="str">
        <f>IFERROR(__xludf.DUMMYFUNCTION("""COMPUTED_VALUE"""),"Bad Hare")</f>
        <v>Bad Hare</v>
      </c>
      <c r="C291" s="101" t="str">
        <f>IFERROR(__xludf.DUMMYFUNCTION("""COMPUTED_VALUE"""),"Beast")</f>
        <v>Beast</v>
      </c>
      <c r="D291" s="101">
        <f>IFERROR(__xludf.DUMMYFUNCTION("""COMPUTED_VALUE"""),693.0)</f>
        <v>693</v>
      </c>
      <c r="E291" s="101">
        <f>IFERROR(__xludf.DUMMYFUNCTION("""COMPUTED_VALUE"""),121.0)</f>
        <v>121</v>
      </c>
      <c r="F291" s="101" t="str">
        <f>IFERROR(__xludf.DUMMYFUNCTION("""COMPUTED_VALUE"""),"Grubby Bandage")</f>
        <v>Grubby Bandage</v>
      </c>
      <c r="G291" s="101" t="str">
        <f>IFERROR(__xludf.DUMMYFUNCTION("""COMPUTED_VALUE"""),"Finessence")</f>
        <v>Finessence</v>
      </c>
      <c r="H291" s="101"/>
    </row>
    <row r="292">
      <c r="A292" s="92"/>
      <c r="B292" s="93" t="str">
        <f>IFERROR(__xludf.DUMMYFUNCTION("""COMPUTED_VALUE"""),"Vampire Succubat")</f>
        <v>Vampire Succubat</v>
      </c>
      <c r="C292" s="100" t="str">
        <f>IFERROR(__xludf.DUMMYFUNCTION("""COMPUTED_VALUE"""),"Bird")</f>
        <v>Bird</v>
      </c>
      <c r="D292" s="100">
        <f>IFERROR(__xludf.DUMMYFUNCTION("""COMPUTED_VALUE"""),720.0)</f>
        <v>720</v>
      </c>
      <c r="E292" s="100">
        <f>IFERROR(__xludf.DUMMYFUNCTION("""COMPUTED_VALUE"""),112.0)</f>
        <v>112</v>
      </c>
      <c r="F292" s="100" t="str">
        <f>IFERROR(__xludf.DUMMYFUNCTION("""COMPUTED_VALUE"""),"Fishnet Stockings")</f>
        <v>Fishnet Stockings</v>
      </c>
      <c r="G292" s="100" t="str">
        <f>IFERROR(__xludf.DUMMYFUNCTION("""COMPUTED_VALUE"""),"Pretty Betsy")</f>
        <v>Pretty Betsy</v>
      </c>
      <c r="H292" s="100"/>
    </row>
    <row r="293">
      <c r="A293" s="95"/>
      <c r="B293" s="96" t="str">
        <f>IFERROR(__xludf.DUMMYFUNCTION("""COMPUTED_VALUE"""),"Bobonga")</f>
        <v>Bobonga</v>
      </c>
      <c r="C293" s="101" t="str">
        <f>IFERROR(__xludf.DUMMYFUNCTION("""COMPUTED_VALUE"""),"Dragon")</f>
        <v>Dragon</v>
      </c>
      <c r="D293" s="101">
        <f>IFERROR(__xludf.DUMMYFUNCTION("""COMPUTED_VALUE"""),756.0)</f>
        <v>756</v>
      </c>
      <c r="E293" s="101">
        <f>IFERROR(__xludf.DUMMYFUNCTION("""COMPUTED_VALUE"""),165.0)</f>
        <v>165</v>
      </c>
      <c r="F293" s="101" t="str">
        <f>IFERROR(__xludf.DUMMYFUNCTION("""COMPUTED_VALUE"""),"Dragon Hide")</f>
        <v>Dragon Hide</v>
      </c>
      <c r="G293" s="101" t="str">
        <f>IFERROR(__xludf.DUMMYFUNCTION("""COMPUTED_VALUE"""),"Artful Amethyst")</f>
        <v>Artful Amethyst</v>
      </c>
      <c r="H293" s="101"/>
    </row>
    <row r="294">
      <c r="A294" s="92"/>
      <c r="B294" s="93" t="str">
        <f>IFERROR(__xludf.DUMMYFUNCTION("""COMPUTED_VALUE"""),"Jinxed Jade")</f>
        <v>Jinxed Jade</v>
      </c>
      <c r="C294" s="100" t="str">
        <f>IFERROR(__xludf.DUMMYFUNCTION("""COMPUTED_VALUE"""),"???")</f>
        <v>???</v>
      </c>
      <c r="D294" s="100">
        <f>IFERROR(__xludf.DUMMYFUNCTION("""COMPUTED_VALUE"""),2500.0)</f>
        <v>2500</v>
      </c>
      <c r="E294" s="100">
        <f>IFERROR(__xludf.DUMMYFUNCTION("""COMPUTED_VALUE"""),0.0)</f>
        <v>0</v>
      </c>
      <c r="F294" s="100" t="str">
        <f>IFERROR(__xludf.DUMMYFUNCTION("""COMPUTED_VALUE"""),"--")</f>
        <v>--</v>
      </c>
      <c r="G294" s="100" t="str">
        <f>IFERROR(__xludf.DUMMYFUNCTION("""COMPUTED_VALUE"""),"--")</f>
        <v>--</v>
      </c>
      <c r="H294" s="100" t="str">
        <f>IFERROR(__xludf.DUMMYFUNCTION("""COMPUTED_VALUE"""),"--")</f>
        <v>--</v>
      </c>
    </row>
    <row r="295">
      <c r="A295" s="95"/>
      <c r="B295" s="96" t="str">
        <f>IFERROR(__xludf.DUMMYFUNCTION("""COMPUTED_VALUE"""),"Booga")</f>
        <v>Booga</v>
      </c>
      <c r="C295" s="101" t="str">
        <f>IFERROR(__xludf.DUMMYFUNCTION("""COMPUTED_VALUE"""),"Demon")</f>
        <v>Demon</v>
      </c>
      <c r="D295" s="101">
        <f>IFERROR(__xludf.DUMMYFUNCTION("""COMPUTED_VALUE"""),15000.0)</f>
        <v>15000</v>
      </c>
      <c r="E295" s="101">
        <f>IFERROR(__xludf.DUMMYFUNCTION("""COMPUTED_VALUE"""),20000.0)</f>
        <v>20000</v>
      </c>
      <c r="F295" s="101" t="str">
        <f>IFERROR(__xludf.DUMMYFUNCTION("""COMPUTED_VALUE"""),"--")</f>
        <v>--</v>
      </c>
      <c r="G295" s="101" t="str">
        <f>IFERROR(__xludf.DUMMYFUNCTION("""COMPUTED_VALUE"""),"--")</f>
        <v>--</v>
      </c>
      <c r="H295" s="101" t="str">
        <f>IFERROR(__xludf.DUMMYFUNCTION("""COMPUTED_VALUE"""),"--")</f>
        <v>--</v>
      </c>
    </row>
    <row r="296">
      <c r="A296" s="92"/>
      <c r="B296" s="93" t="str">
        <f>IFERROR(__xludf.DUMMYFUNCTION("""COMPUTED_VALUE"""),"Sail Serpent")</f>
        <v>Sail Serpent</v>
      </c>
      <c r="C296" s="100" t="str">
        <f>IFERROR(__xludf.DUMMYFUNCTION("""COMPUTED_VALUE"""),"Dragon")</f>
        <v>Dragon</v>
      </c>
      <c r="D296" s="100">
        <f>IFERROR(__xludf.DUMMYFUNCTION("""COMPUTED_VALUE"""),839.0)</f>
        <v>839</v>
      </c>
      <c r="E296" s="100">
        <f>IFERROR(__xludf.DUMMYFUNCTION("""COMPUTED_VALUE"""),159.0)</f>
        <v>159</v>
      </c>
      <c r="F296" s="100" t="str">
        <f>IFERROR(__xludf.DUMMYFUNCTION("""COMPUTED_VALUE"""),"Snakeskin")</f>
        <v>Snakeskin</v>
      </c>
      <c r="G296" s="100" t="str">
        <f>IFERROR(__xludf.DUMMYFUNCTION("""COMPUTED_VALUE"""),"Falcon Knife Earring")</f>
        <v>Falcon Knife Earring</v>
      </c>
      <c r="H296" s="100"/>
    </row>
    <row r="297">
      <c r="A297" s="95"/>
      <c r="B297" s="96" t="str">
        <f>IFERROR(__xludf.DUMMYFUNCTION("""COMPUTED_VALUE"""),"Vicious Dragon Slime")</f>
        <v>Vicious Dragon Slime</v>
      </c>
      <c r="C297" s="101" t="str">
        <f>IFERROR(__xludf.DUMMYFUNCTION("""COMPUTED_VALUE"""),"Slime")</f>
        <v>Slime</v>
      </c>
      <c r="D297" s="101">
        <f>IFERROR(__xludf.DUMMYFUNCTION("""COMPUTED_VALUE"""),1138.0)</f>
        <v>1138</v>
      </c>
      <c r="E297" s="101">
        <f>IFERROR(__xludf.DUMMYFUNCTION("""COMPUTED_VALUE"""),243.0)</f>
        <v>243</v>
      </c>
      <c r="F297" s="101" t="str">
        <f>IFERROR(__xludf.DUMMYFUNCTION("""COMPUTED_VALUE"""),"Permasnow")</f>
        <v>Permasnow</v>
      </c>
      <c r="G297" s="101" t="str">
        <f>IFERROR(__xludf.DUMMYFUNCTION("""COMPUTED_VALUE"""),"Ice Crystal")</f>
        <v>Ice Crystal</v>
      </c>
      <c r="H297" s="101" t="str">
        <f>IFERROR(__xludf.DUMMYFUNCTION("""COMPUTED_VALUE"""),"Drustan's Labyrinth - Trial Isle (Day)")</f>
        <v>Drustan's Labyrinth - Trial Isle (Day)</v>
      </c>
    </row>
    <row r="298">
      <c r="A298" s="92"/>
      <c r="B298" s="93" t="str">
        <f>IFERROR(__xludf.DUMMYFUNCTION("""COMPUTED_VALUE"""),"Gryphon")</f>
        <v>Gryphon</v>
      </c>
      <c r="C298" s="100" t="str">
        <f>IFERROR(__xludf.DUMMYFUNCTION("""COMPUTED_VALUE"""),"Bird")</f>
        <v>Bird</v>
      </c>
      <c r="D298" s="100">
        <f>IFERROR(__xludf.DUMMYFUNCTION("""COMPUTED_VALUE"""),719.0)</f>
        <v>719</v>
      </c>
      <c r="E298" s="100">
        <f>IFERROR(__xludf.DUMMYFUNCTION("""COMPUTED_VALUE"""),140.0)</f>
        <v>140</v>
      </c>
      <c r="F298" s="100" t="str">
        <f>IFERROR(__xludf.DUMMYFUNCTION("""COMPUTED_VALUE"""),"Fine Fur")</f>
        <v>Fine Fur</v>
      </c>
      <c r="G298" s="100" t="str">
        <f>IFERROR(__xludf.DUMMYFUNCTION("""COMPUTED_VALUE"""),"Magic Circle")</f>
        <v>Magic Circle</v>
      </c>
      <c r="H298" s="100"/>
    </row>
    <row r="299">
      <c r="A299" s="95"/>
      <c r="B299" s="96" t="str">
        <f>IFERROR(__xludf.DUMMYFUNCTION("""COMPUTED_VALUE"""),"Vicious Spinchilla")</f>
        <v>Vicious Spinchilla</v>
      </c>
      <c r="C299" s="101" t="str">
        <f>IFERROR(__xludf.DUMMYFUNCTION("""COMPUTED_VALUE"""),"Elemental")</f>
        <v>Elemental</v>
      </c>
      <c r="D299" s="101">
        <f>IFERROR(__xludf.DUMMYFUNCTION("""COMPUTED_VALUE"""),1410.0)</f>
        <v>1410</v>
      </c>
      <c r="E299" s="101">
        <f>IFERROR(__xludf.DUMMYFUNCTION("""COMPUTED_VALUE"""),296.0)</f>
        <v>296</v>
      </c>
      <c r="F299" s="101" t="str">
        <f>IFERROR(__xludf.DUMMYFUNCTION("""COMPUTED_VALUE"""),"Watermaul Wand")</f>
        <v>Watermaul Wand</v>
      </c>
      <c r="G299" s="101" t="str">
        <f>IFERROR(__xludf.DUMMYFUNCTION("""COMPUTED_VALUE"""),"Mercury's Bandana")</f>
        <v>Mercury's Bandana</v>
      </c>
      <c r="H299" s="101" t="str">
        <f>IFERROR(__xludf.DUMMYFUNCTION("""COMPUTED_VALUE"""),"Drustan's Labyrinth - Trial Isle (Day)")</f>
        <v>Drustan's Labyrinth - Trial Isle (Day)</v>
      </c>
    </row>
    <row r="300">
      <c r="A300" s="92"/>
      <c r="B300" s="93" t="str">
        <f>IFERROR(__xludf.DUMMYFUNCTION("""COMPUTED_VALUE"""),"Alizarin")</f>
        <v>Alizarin</v>
      </c>
      <c r="C300" s="100" t="str">
        <f>IFERROR(__xludf.DUMMYFUNCTION("""COMPUTED_VALUE"""),"Dragon")</f>
        <v>Dragon</v>
      </c>
      <c r="D300" s="100">
        <f>IFERROR(__xludf.DUMMYFUNCTION("""COMPUTED_VALUE"""),18000.0)</f>
        <v>18000</v>
      </c>
      <c r="E300" s="100">
        <f>IFERROR(__xludf.DUMMYFUNCTION("""COMPUTED_VALUE"""),12000.0)</f>
        <v>12000</v>
      </c>
      <c r="F300" s="100" t="str">
        <f>IFERROR(__xludf.DUMMYFUNCTION("""COMPUTED_VALUE"""),"--")</f>
        <v>--</v>
      </c>
      <c r="G300" s="100" t="str">
        <f>IFERROR(__xludf.DUMMYFUNCTION("""COMPUTED_VALUE"""),"--")</f>
        <v>--</v>
      </c>
      <c r="H300" s="100" t="str">
        <f>IFERROR(__xludf.DUMMYFUNCTION("""COMPUTED_VALUE"""),"--")</f>
        <v>--</v>
      </c>
    </row>
    <row r="301">
      <c r="A301" s="95"/>
      <c r="B301" s="96" t="str">
        <f>IFERROR(__xludf.DUMMYFUNCTION("""COMPUTED_VALUE"""),"Gigantes")</f>
        <v>Gigantes</v>
      </c>
      <c r="C301" s="101" t="str">
        <f>IFERROR(__xludf.DUMMYFUNCTION("""COMPUTED_VALUE"""),"Demon")</f>
        <v>Demon</v>
      </c>
      <c r="D301" s="101">
        <f>IFERROR(__xludf.DUMMYFUNCTION("""COMPUTED_VALUE"""),2664.0)</f>
        <v>2664</v>
      </c>
      <c r="E301" s="101">
        <f>IFERROR(__xludf.DUMMYFUNCTION("""COMPUTED_VALUE"""),331.0)</f>
        <v>331</v>
      </c>
      <c r="F301" s="101" t="str">
        <f>IFERROR(__xludf.DUMMYFUNCTION("""COMPUTED_VALUE"""),"Strength Ring")</f>
        <v>Strength Ring</v>
      </c>
      <c r="G301" s="101" t="str">
        <f>IFERROR(__xludf.DUMMYFUNCTION("""COMPUTED_VALUE"""),"Elfin Elixir")</f>
        <v>Elfin Elixir</v>
      </c>
      <c r="H301" s="101"/>
    </row>
    <row r="302">
      <c r="A302" s="92"/>
      <c r="B302" s="93" t="str">
        <f>IFERROR(__xludf.DUMMYFUNCTION("""COMPUTED_VALUE"""),"Boss Troll")</f>
        <v>Boss Troll</v>
      </c>
      <c r="C302" s="100" t="str">
        <f>IFERROR(__xludf.DUMMYFUNCTION("""COMPUTED_VALUE"""),"Demon")</f>
        <v>Demon</v>
      </c>
      <c r="D302" s="100">
        <f>IFERROR(__xludf.DUMMYFUNCTION("""COMPUTED_VALUE"""),2137.0)</f>
        <v>2137</v>
      </c>
      <c r="E302" s="100">
        <f>IFERROR(__xludf.DUMMYFUNCTION("""COMPUTED_VALUE"""),295.0)</f>
        <v>295</v>
      </c>
      <c r="F302" s="100" t="str">
        <f>IFERROR(__xludf.DUMMYFUNCTION("""COMPUTED_VALUE"""),"Fine Fur")</f>
        <v>Fine Fur</v>
      </c>
      <c r="G302" s="100" t="str">
        <f>IFERROR(__xludf.DUMMYFUNCTION("""COMPUTED_VALUE"""),"Strength Ring")</f>
        <v>Strength Ring</v>
      </c>
      <c r="H302" s="100"/>
    </row>
    <row r="303">
      <c r="A303" s="95"/>
      <c r="B303" s="96" t="str">
        <f>IFERROR(__xludf.DUMMYFUNCTION("""COMPUTED_VALUE"""),"Night Clubber")</f>
        <v>Night Clubber</v>
      </c>
      <c r="C303" s="101" t="str">
        <f>IFERROR(__xludf.DUMMYFUNCTION("""COMPUTED_VALUE"""),"Dragon")</f>
        <v>Dragon</v>
      </c>
      <c r="D303" s="101">
        <f>IFERROR(__xludf.DUMMYFUNCTION("""COMPUTED_VALUE"""),2356.0)</f>
        <v>2356</v>
      </c>
      <c r="E303" s="101">
        <f>IFERROR(__xludf.DUMMYFUNCTION("""COMPUTED_VALUE"""),307.0)</f>
        <v>307</v>
      </c>
      <c r="F303" s="101" t="str">
        <f>IFERROR(__xludf.DUMMYFUNCTION("""COMPUTED_VALUE"""),"Large Scale")</f>
        <v>Large Scale</v>
      </c>
      <c r="G303" s="101" t="str">
        <f>IFERROR(__xludf.DUMMYFUNCTION("""COMPUTED_VALUE"""),"Seed of Strength")</f>
        <v>Seed of Strength</v>
      </c>
      <c r="H303" s="101"/>
    </row>
    <row r="304">
      <c r="A304" s="92"/>
      <c r="B304" s="93" t="str">
        <f>IFERROR(__xludf.DUMMYFUNCTION("""COMPUTED_VALUE"""),"Vicious Otter Shambles")</f>
        <v>Vicious Otter Shambles</v>
      </c>
      <c r="C304" s="100" t="str">
        <f>IFERROR(__xludf.DUMMYFUNCTION("""COMPUTED_VALUE"""),"Humanoid")</f>
        <v>Humanoid</v>
      </c>
      <c r="D304" s="100">
        <f>IFERROR(__xludf.DUMMYFUNCTION("""COMPUTED_VALUE"""),1520.0)</f>
        <v>1520</v>
      </c>
      <c r="E304" s="100">
        <f>IFERROR(__xludf.DUMMYFUNCTION("""COMPUTED_VALUE"""),462.0)</f>
        <v>462</v>
      </c>
      <c r="F304" s="100" t="str">
        <f>IFERROR(__xludf.DUMMYFUNCTION("""COMPUTED_VALUE"""),"Sun-Bleached Seashell")</f>
        <v>Sun-Bleached Seashell</v>
      </c>
      <c r="G304" s="100" t="str">
        <f>IFERROR(__xludf.DUMMYFUNCTION("""COMPUTED_VALUE"""),"Fur Poncho")</f>
        <v>Fur Poncho</v>
      </c>
      <c r="H304" s="100" t="str">
        <f>IFERROR(__xludf.DUMMYFUNCTION("""COMPUTED_VALUE"""),"Drustan's Labyrinth - Trial Isle (Day)")</f>
        <v>Drustan's Labyrinth - Trial Isle (Day)</v>
      </c>
    </row>
    <row r="305">
      <c r="A305" s="95"/>
      <c r="B305" s="96" t="str">
        <f>IFERROR(__xludf.DUMMYFUNCTION("""COMPUTED_VALUE"""),"Vicious War Gryphon")</f>
        <v>Vicious War Gryphon</v>
      </c>
      <c r="C305" s="101" t="str">
        <f>IFERROR(__xludf.DUMMYFUNCTION("""COMPUTED_VALUE"""),"Bird")</f>
        <v>Bird</v>
      </c>
      <c r="D305" s="101">
        <f>IFERROR(__xludf.DUMMYFUNCTION("""COMPUTED_VALUE"""),1938.0)</f>
        <v>1938</v>
      </c>
      <c r="E305" s="101">
        <f>IFERROR(__xludf.DUMMYFUNCTION("""COMPUTED_VALUE"""),423.0)</f>
        <v>423</v>
      </c>
      <c r="F305" s="101" t="str">
        <f>IFERROR(__xludf.DUMMYFUNCTION("""COMPUTED_VALUE"""),"Flurry Feather")</f>
        <v>Flurry Feather</v>
      </c>
      <c r="G305" s="101" t="str">
        <f>IFERROR(__xludf.DUMMYFUNCTION("""COMPUTED_VALUE"""),"Twisted Talons")</f>
        <v>Twisted Talons</v>
      </c>
      <c r="H305" s="101" t="str">
        <f>IFERROR(__xludf.DUMMYFUNCTION("""COMPUTED_VALUE"""),"Luminary's Trial (Night)")</f>
        <v>Luminary's Trial (Night)</v>
      </c>
    </row>
    <row r="306">
      <c r="A306" s="92"/>
      <c r="B306" s="93" t="str">
        <f>IFERROR(__xludf.DUMMYFUNCTION("""COMPUTED_VALUE"""),"Steel Siren")</f>
        <v>Steel Siren</v>
      </c>
      <c r="C306" s="100" t="str">
        <f>IFERROR(__xludf.DUMMYFUNCTION("""COMPUTED_VALUE"""),"Material")</f>
        <v>Material</v>
      </c>
      <c r="D306" s="100">
        <f>IFERROR(__xludf.DUMMYFUNCTION("""COMPUTED_VALUE"""),1038.0)</f>
        <v>1038</v>
      </c>
      <c r="E306" s="100">
        <f>IFERROR(__xludf.DUMMYFUNCTION("""COMPUTED_VALUE"""),173.0)</f>
        <v>173</v>
      </c>
      <c r="F306" s="100" t="str">
        <f>IFERROR(__xludf.DUMMYFUNCTION("""COMPUTED_VALUE"""),"Pale Pearl")</f>
        <v>Pale Pearl</v>
      </c>
      <c r="G306" s="100" t="str">
        <f>IFERROR(__xludf.DUMMYFUNCTION("""COMPUTED_VALUE"""),"Rosary")</f>
        <v>Rosary</v>
      </c>
      <c r="H306" s="100"/>
    </row>
    <row r="307">
      <c r="A307" s="105"/>
      <c r="B307" s="96" t="str">
        <f>IFERROR(__xludf.DUMMYFUNCTION("""COMPUTED_VALUE"""),"Blizzybody")</f>
        <v>Blizzybody</v>
      </c>
      <c r="C307" s="101" t="str">
        <f>IFERROR(__xludf.DUMMYFUNCTION("""COMPUTED_VALUE"""),"Elemental")</f>
        <v>Elemental</v>
      </c>
      <c r="D307" s="101">
        <f>IFERROR(__xludf.DUMMYFUNCTION("""COMPUTED_VALUE"""),872.0)</f>
        <v>872</v>
      </c>
      <c r="E307" s="101">
        <f>IFERROR(__xludf.DUMMYFUNCTION("""COMPUTED_VALUE"""),150.0)</f>
        <v>150</v>
      </c>
      <c r="F307" s="101" t="str">
        <f>IFERROR(__xludf.DUMMYFUNCTION("""COMPUTED_VALUE"""),"Ice Crystal")</f>
        <v>Ice Crystal</v>
      </c>
      <c r="G307" s="101" t="str">
        <f>IFERROR(__xludf.DUMMYFUNCTION("""COMPUTED_VALUE"""),"Sovereign Seal")</f>
        <v>Sovereign Seal</v>
      </c>
      <c r="H307" s="101"/>
    </row>
    <row r="308">
      <c r="A308" s="106" t="str">
        <f>IFERROR(__xludf.DUMMYFUNCTION("""COMPUTED_VALUE"""),"P16")</f>
        <v>P16</v>
      </c>
      <c r="B308" s="93" t="str">
        <f>IFERROR(__xludf.DUMMYFUNCTION("""COMPUTED_VALUE"""),"Snowgre")</f>
        <v>Snowgre</v>
      </c>
      <c r="C308" s="100" t="str">
        <f>IFERROR(__xludf.DUMMYFUNCTION("""COMPUTED_VALUE"""),"Material")</f>
        <v>Material</v>
      </c>
      <c r="D308" s="100">
        <f>IFERROR(__xludf.DUMMYFUNCTION("""COMPUTED_VALUE"""),1058.0)</f>
        <v>1058</v>
      </c>
      <c r="E308" s="100">
        <f>IFERROR(__xludf.DUMMYFUNCTION("""COMPUTED_VALUE"""),230.0)</f>
        <v>230</v>
      </c>
      <c r="F308" s="100" t="str">
        <f>IFERROR(__xludf.DUMMYFUNCTION("""COMPUTED_VALUE"""),"Brighten Rock")</f>
        <v>Brighten Rock</v>
      </c>
      <c r="G308" s="100" t="str">
        <f>IFERROR(__xludf.DUMMYFUNCTION("""COMPUTED_VALUE"""),"Ice Shield")</f>
        <v>Ice Shield</v>
      </c>
      <c r="H308" s="100"/>
    </row>
    <row r="309">
      <c r="A309" s="95"/>
      <c r="B309" s="103" t="str">
        <f>IFERROR(__xludf.DUMMYFUNCTION("""COMPUTED_VALUE"""),"Leviathing (Rarefied)")</f>
        <v>Leviathing (Rarefied)</v>
      </c>
      <c r="C309" s="96" t="str">
        <f>IFERROR(__xludf.DUMMYFUNCTION("""COMPUTED_VALUE"""),"Material")</f>
        <v>Material</v>
      </c>
      <c r="D309" s="96">
        <f>IFERROR(__xludf.DUMMYFUNCTION("""COMPUTED_VALUE"""),5088.0)</f>
        <v>5088</v>
      </c>
      <c r="E309" s="96">
        <f>IFERROR(__xludf.DUMMYFUNCTION("""COMPUTED_VALUE"""),961.0)</f>
        <v>961</v>
      </c>
      <c r="F309" s="96" t="str">
        <f>IFERROR(__xludf.DUMMYFUNCTION("""COMPUTED_VALUE"""),"Agate of Evolution")</f>
        <v>Agate of Evolution</v>
      </c>
      <c r="G309" s="96" t="str">
        <f>IFERROR(__xludf.DUMMYFUNCTION("""COMPUTED_VALUE"""),"Spirit Bracer")</f>
        <v>Spirit Bracer</v>
      </c>
      <c r="H309" s="96" t="str">
        <f>IFERROR(__xludf.DUMMYFUNCTION("""COMPUTED_VALUE"""),"Drustan's Labyrinth - Trial Isle (Night): SE corner, rare Vicious Snowgre")</f>
        <v>Drustan's Labyrinth - Trial Isle (Night): SE corner, rare Vicious Snowgre</v>
      </c>
    </row>
    <row r="310">
      <c r="A310" s="92"/>
      <c r="B310" s="93" t="str">
        <f>IFERROR(__xludf.DUMMYFUNCTION("""COMPUTED_VALUE"""),"Metal Dragon Slime")</f>
        <v>Metal Dragon Slime</v>
      </c>
      <c r="C310" s="100" t="str">
        <f>IFERROR(__xludf.DUMMYFUNCTION("""COMPUTED_VALUE"""),"Slime")</f>
        <v>Slime</v>
      </c>
      <c r="D310" s="100">
        <f>IFERROR(__xludf.DUMMYFUNCTION("""COMPUTED_VALUE"""),865.0)</f>
        <v>865</v>
      </c>
      <c r="E310" s="100">
        <f>IFERROR(__xludf.DUMMYFUNCTION("""COMPUTED_VALUE"""),154.0)</f>
        <v>154</v>
      </c>
      <c r="F310" s="100" t="str">
        <f>IFERROR(__xludf.DUMMYFUNCTION("""COMPUTED_VALUE"""),"Molten Globules")</f>
        <v>Molten Globules</v>
      </c>
      <c r="G310" s="100" t="str">
        <f>IFERROR(__xludf.DUMMYFUNCTION("""COMPUTED_VALUE"""),"Platinum Headgear")</f>
        <v>Platinum Headgear</v>
      </c>
      <c r="H310" s="100"/>
    </row>
    <row r="311">
      <c r="A311" s="95"/>
      <c r="B311" s="96" t="str">
        <f>IFERROR(__xludf.DUMMYFUNCTION("""COMPUTED_VALUE"""),"Stone Guardian")</f>
        <v>Stone Guardian</v>
      </c>
      <c r="C311" s="101" t="str">
        <f>IFERROR(__xludf.DUMMYFUNCTION("""COMPUTED_VALUE"""),"Material")</f>
        <v>Material</v>
      </c>
      <c r="D311" s="101">
        <f>IFERROR(__xludf.DUMMYFUNCTION("""COMPUTED_VALUE"""),1202.0)</f>
        <v>1202</v>
      </c>
      <c r="E311" s="101">
        <f>IFERROR(__xludf.DUMMYFUNCTION("""COMPUTED_VALUE"""),184.0)</f>
        <v>184</v>
      </c>
      <c r="F311" s="101" t="str">
        <f>IFERROR(__xludf.DUMMYFUNCTION("""COMPUTED_VALUE"""),"Dieamend")</f>
        <v>Dieamend</v>
      </c>
      <c r="G311" s="101" t="str">
        <f>IFERROR(__xludf.DUMMYFUNCTION("""COMPUTED_VALUE"""),"Mighty Armlet")</f>
        <v>Mighty Armlet</v>
      </c>
      <c r="H311" s="101"/>
    </row>
    <row r="312">
      <c r="A312" s="92"/>
      <c r="B312" s="93" t="str">
        <f>IFERROR(__xludf.DUMMYFUNCTION("""COMPUTED_VALUE"""),"Gyldenbritches")</f>
        <v>Gyldenbritches</v>
      </c>
      <c r="C312" s="100" t="str">
        <f>IFERROR(__xludf.DUMMYFUNCTION("""COMPUTED_VALUE"""),"Material")</f>
        <v>Material</v>
      </c>
      <c r="D312" s="100">
        <f>IFERROR(__xludf.DUMMYFUNCTION("""COMPUTED_VALUE"""),1008.0)</f>
        <v>1008</v>
      </c>
      <c r="E312" s="100">
        <f>IFERROR(__xludf.DUMMYFUNCTION("""COMPUTED_VALUE"""),342.0)</f>
        <v>342</v>
      </c>
      <c r="F312" s="100" t="str">
        <f>IFERROR(__xludf.DUMMYFUNCTION("""COMPUTED_VALUE"""),"Gold Nuglet")</f>
        <v>Gold Nuglet</v>
      </c>
      <c r="G312" s="100" t="str">
        <f>IFERROR(__xludf.DUMMYFUNCTION("""COMPUTED_VALUE"""),"Corsair's Cap")</f>
        <v>Corsair's Cap</v>
      </c>
      <c r="H312" s="100"/>
    </row>
    <row r="313">
      <c r="A313" s="95"/>
      <c r="B313" s="96" t="str">
        <f>IFERROR(__xludf.DUMMYFUNCTION("""COMPUTED_VALUE"""),"Gyldennaut")</f>
        <v>Gyldennaut</v>
      </c>
      <c r="C313" s="101" t="str">
        <f>IFERROR(__xludf.DUMMYFUNCTION("""COMPUTED_VALUE"""),"Material")</f>
        <v>Material</v>
      </c>
      <c r="D313" s="101">
        <f>IFERROR(__xludf.DUMMYFUNCTION("""COMPUTED_VALUE"""),969.0)</f>
        <v>969</v>
      </c>
      <c r="E313" s="101">
        <f>IFERROR(__xludf.DUMMYFUNCTION("""COMPUTED_VALUE"""),290.0)</f>
        <v>290</v>
      </c>
      <c r="F313" s="101" t="str">
        <f>IFERROR(__xludf.DUMMYFUNCTION("""COMPUTED_VALUE"""),"Gold Ore")</f>
        <v>Gold Ore</v>
      </c>
      <c r="G313" s="101" t="str">
        <f>IFERROR(__xludf.DUMMYFUNCTION("""COMPUTED_VALUE"""),"Pirate's Hat")</f>
        <v>Pirate's Hat</v>
      </c>
      <c r="H313" s="101"/>
    </row>
    <row r="314">
      <c r="A314" s="92"/>
      <c r="B314" s="93" t="str">
        <f>IFERROR(__xludf.DUMMYFUNCTION("""COMPUTED_VALUE"""),"Vicious Silver Sabrecub")</f>
        <v>Vicious Silver Sabrecub</v>
      </c>
      <c r="C314" s="100" t="str">
        <f>IFERROR(__xludf.DUMMYFUNCTION("""COMPUTED_VALUE"""),"Beast")</f>
        <v>Beast</v>
      </c>
      <c r="D314" s="100">
        <f>IFERROR(__xludf.DUMMYFUNCTION("""COMPUTED_VALUE"""),866.0)</f>
        <v>866</v>
      </c>
      <c r="E314" s="100">
        <f>IFERROR(__xludf.DUMMYFUNCTION("""COMPUTED_VALUE"""),213.0)</f>
        <v>213</v>
      </c>
      <c r="F314" s="100" t="str">
        <f>IFERROR(__xludf.DUMMYFUNCTION("""COMPUTED_VALUE"""),"Fine Fur")</f>
        <v>Fine Fur</v>
      </c>
      <c r="G314" s="100" t="str">
        <f>IFERROR(__xludf.DUMMYFUNCTION("""COMPUTED_VALUE"""),"Twisted Talons")</f>
        <v>Twisted Talons</v>
      </c>
      <c r="H314" s="100" t="str">
        <f>IFERROR(__xludf.DUMMYFUNCTION("""COMPUTED_VALUE"""),"Drustan's Labyrinth - Trial Isle (Day)")</f>
        <v>Drustan's Labyrinth - Trial Isle (Day)</v>
      </c>
    </row>
    <row r="315">
      <c r="A315" s="95"/>
      <c r="B315" s="96" t="str">
        <f>IFERROR(__xludf.DUMMYFUNCTION("""COMPUTED_VALUE"""),"Ursa Major")</f>
        <v>Ursa Major</v>
      </c>
      <c r="C315" s="101" t="str">
        <f>IFERROR(__xludf.DUMMYFUNCTION("""COMPUTED_VALUE"""),"Beast")</f>
        <v>Beast</v>
      </c>
      <c r="D315" s="101">
        <f>IFERROR(__xludf.DUMMYFUNCTION("""COMPUTED_VALUE"""),1422.0)</f>
        <v>1422</v>
      </c>
      <c r="E315" s="101">
        <f>IFERROR(__xludf.DUMMYFUNCTION("""COMPUTED_VALUE"""),247.0)</f>
        <v>247</v>
      </c>
      <c r="F315" s="101" t="str">
        <f>IFERROR(__xludf.DUMMYFUNCTION("""COMPUTED_VALUE"""),"Magic Beast Hide")</f>
        <v>Magic Beast Hide</v>
      </c>
      <c r="G315" s="101" t="str">
        <f>IFERROR(__xludf.DUMMYFUNCTION("""COMPUTED_VALUE"""),"Tough Guy Tattoo")</f>
        <v>Tough Guy Tattoo</v>
      </c>
      <c r="H315" s="101"/>
    </row>
    <row r="316">
      <c r="A316" s="92"/>
      <c r="B316" s="93" t="str">
        <f>IFERROR(__xludf.DUMMYFUNCTION("""COMPUTED_VALUE"""),"Gold-Plated Puppet")</f>
        <v>Gold-Plated Puppet</v>
      </c>
      <c r="C316" s="100" t="str">
        <f>IFERROR(__xludf.DUMMYFUNCTION("""COMPUTED_VALUE"""),"Material")</f>
        <v>Material</v>
      </c>
      <c r="D316" s="100">
        <f>IFERROR(__xludf.DUMMYFUNCTION("""COMPUTED_VALUE"""),831.0)</f>
        <v>831</v>
      </c>
      <c r="E316" s="100">
        <f>IFERROR(__xludf.DUMMYFUNCTION("""COMPUTED_VALUE"""),320.0)</f>
        <v>320</v>
      </c>
      <c r="F316" s="100" t="str">
        <f>IFERROR(__xludf.DUMMYFUNCTION("""COMPUTED_VALUE"""),"Gold Nuglet")</f>
        <v>Gold Nuglet</v>
      </c>
      <c r="G316" s="100" t="str">
        <f>IFERROR(__xludf.DUMMYFUNCTION("""COMPUTED_VALUE"""),"Drasilian Sovereign")</f>
        <v>Drasilian Sovereign</v>
      </c>
      <c r="H316" s="100"/>
    </row>
    <row r="317">
      <c r="A317" s="95"/>
      <c r="B317" s="96" t="str">
        <f>IFERROR(__xludf.DUMMYFUNCTION("""COMPUTED_VALUE"""),"Gold Golem")</f>
        <v>Gold Golem</v>
      </c>
      <c r="C317" s="101" t="str">
        <f>IFERROR(__xludf.DUMMYFUNCTION("""COMPUTED_VALUE"""),"Material")</f>
        <v>Material</v>
      </c>
      <c r="D317" s="101">
        <f>IFERROR(__xludf.DUMMYFUNCTION("""COMPUTED_VALUE"""),1144.0)</f>
        <v>1144</v>
      </c>
      <c r="E317" s="101">
        <f>IFERROR(__xludf.DUMMYFUNCTION("""COMPUTED_VALUE"""),650.0)</f>
        <v>650</v>
      </c>
      <c r="F317" s="101" t="str">
        <f>IFERROR(__xludf.DUMMYFUNCTION("""COMPUTED_VALUE"""),"Gold Ore")</f>
        <v>Gold Ore</v>
      </c>
      <c r="G317" s="101" t="str">
        <f>IFERROR(__xludf.DUMMYFUNCTION("""COMPUTED_VALUE"""),"Gold Bar")</f>
        <v>Gold Bar</v>
      </c>
      <c r="H317" s="101"/>
    </row>
    <row r="318">
      <c r="A318" s="92"/>
      <c r="B318" s="93" t="str">
        <f>IFERROR(__xludf.DUMMYFUNCTION("""COMPUTED_VALUE"""),"Penny Pincher")</f>
        <v>Penny Pincher</v>
      </c>
      <c r="C318" s="100" t="str">
        <f>IFERROR(__xludf.DUMMYFUNCTION("""COMPUTED_VALUE"""),"Machine")</f>
        <v>Machine</v>
      </c>
      <c r="D318" s="100">
        <f>IFERROR(__xludf.DUMMYFUNCTION("""COMPUTED_VALUE"""),777.0)</f>
        <v>777</v>
      </c>
      <c r="E318" s="100">
        <f>IFERROR(__xludf.DUMMYFUNCTION("""COMPUTED_VALUE"""),330.0)</f>
        <v>330</v>
      </c>
      <c r="F318" s="100" t="str">
        <f>IFERROR(__xludf.DUMMYFUNCTION("""COMPUTED_VALUE"""),"Love Potion")</f>
        <v>Love Potion</v>
      </c>
      <c r="G318" s="100" t="str">
        <f>IFERROR(__xludf.DUMMYFUNCTION("""COMPUTED_VALUE"""),"Yggdrasil Leaf")</f>
        <v>Yggdrasil Leaf</v>
      </c>
      <c r="H318" s="100"/>
    </row>
    <row r="319">
      <c r="A319" s="95"/>
      <c r="B319" s="96" t="str">
        <f>IFERROR(__xludf.DUMMYFUNCTION("""COMPUTED_VALUE"""),"Gylddygga")</f>
        <v>Gylddygga</v>
      </c>
      <c r="C319" s="101" t="str">
        <f>IFERROR(__xludf.DUMMYFUNCTION("""COMPUTED_VALUE"""),"Material")</f>
        <v>Material</v>
      </c>
      <c r="D319" s="101">
        <f>IFERROR(__xludf.DUMMYFUNCTION("""COMPUTED_VALUE"""),20000.0)</f>
        <v>20000</v>
      </c>
      <c r="E319" s="101">
        <f>IFERROR(__xludf.DUMMYFUNCTION("""COMPUTED_VALUE"""),30000.0)</f>
        <v>30000</v>
      </c>
      <c r="F319" s="101" t="str">
        <f>IFERROR(__xludf.DUMMYFUNCTION("""COMPUTED_VALUE"""),"Corsair's Cap")</f>
        <v>Corsair's Cap</v>
      </c>
      <c r="G319" s="101" t="str">
        <f>IFERROR(__xludf.DUMMYFUNCTION("""COMPUTED_VALUE"""),"--")</f>
        <v>--</v>
      </c>
      <c r="H319" s="101" t="str">
        <f>IFERROR(__xludf.DUMMYFUNCTION("""COMPUTED_VALUE"""),"--")</f>
        <v>--</v>
      </c>
    </row>
    <row r="320">
      <c r="A320" s="92"/>
      <c r="B320" s="93" t="str">
        <f>IFERROR(__xludf.DUMMYFUNCTION("""COMPUTED_VALUE"""),"Prowler Jowler")</f>
        <v>Prowler Jowler</v>
      </c>
      <c r="C320" s="100" t="str">
        <f>IFERROR(__xludf.DUMMYFUNCTION("""COMPUTED_VALUE"""),"Beast")</f>
        <v>Beast</v>
      </c>
      <c r="D320" s="100">
        <f>IFERROR(__xludf.DUMMYFUNCTION("""COMPUTED_VALUE"""),1351.0)</f>
        <v>1351</v>
      </c>
      <c r="E320" s="100">
        <f>IFERROR(__xludf.DUMMYFUNCTION("""COMPUTED_VALUE"""),255.0)</f>
        <v>255</v>
      </c>
      <c r="F320" s="100" t="str">
        <f>IFERROR(__xludf.DUMMYFUNCTION("""COMPUTED_VALUE"""),"Magic Beast Horn")</f>
        <v>Magic Beast Horn</v>
      </c>
      <c r="G320" s="100" t="str">
        <f>IFERROR(__xludf.DUMMYFUNCTION("""COMPUTED_VALUE"""),"Seed of Agility")</f>
        <v>Seed of Agility</v>
      </c>
      <c r="H320" s="100"/>
    </row>
    <row r="321">
      <c r="A321" s="95"/>
      <c r="B321" s="96" t="str">
        <f>IFERROR(__xludf.DUMMYFUNCTION("""COMPUTED_VALUE"""),"Vicious Bongo Fandango")</f>
        <v>Vicious Bongo Fandango</v>
      </c>
      <c r="C321" s="101" t="str">
        <f>IFERROR(__xludf.DUMMYFUNCTION("""COMPUTED_VALUE"""),"Material")</f>
        <v>Material</v>
      </c>
      <c r="D321" s="101">
        <f>IFERROR(__xludf.DUMMYFUNCTION("""COMPUTED_VALUE"""),1460.0)</f>
        <v>1460</v>
      </c>
      <c r="E321" s="101">
        <f>IFERROR(__xludf.DUMMYFUNCTION("""COMPUTED_VALUE"""),343.0)</f>
        <v>343</v>
      </c>
      <c r="F321" s="101" t="str">
        <f>IFERROR(__xludf.DUMMYFUNCTION("""COMPUTED_VALUE"""),"Avabranche")</f>
        <v>Avabranche</v>
      </c>
      <c r="G321" s="101" t="str">
        <f>IFERROR(__xludf.DUMMYFUNCTION("""COMPUTED_VALUE"""),"Ice Crystal")</f>
        <v>Ice Crystal</v>
      </c>
      <c r="H321" s="101" t="str">
        <f>IFERROR(__xludf.DUMMYFUNCTION("""COMPUTED_VALUE"""),"Drustan's Labyrinth - Trial Isle (Day)")</f>
        <v>Drustan's Labyrinth - Trial Isle (Day)</v>
      </c>
    </row>
    <row r="322">
      <c r="A322" s="92"/>
      <c r="B322" s="93" t="str">
        <f>IFERROR(__xludf.DUMMYFUNCTION("""COMPUTED_VALUE"""),"Vicious Chihuawyrm")</f>
        <v>Vicious Chihuawyrm</v>
      </c>
      <c r="C322" s="100" t="str">
        <f>IFERROR(__xludf.DUMMYFUNCTION("""COMPUTED_VALUE"""),"Dragon")</f>
        <v>Dragon</v>
      </c>
      <c r="D322" s="100">
        <f>IFERROR(__xludf.DUMMYFUNCTION("""COMPUTED_VALUE"""),2864.0)</f>
        <v>2864</v>
      </c>
      <c r="E322" s="100">
        <f>IFERROR(__xludf.DUMMYFUNCTION("""COMPUTED_VALUE"""),508.0)</f>
        <v>508</v>
      </c>
      <c r="F322" s="100" t="str">
        <f>IFERROR(__xludf.DUMMYFUNCTION("""COMPUTED_VALUE"""),"Fine Fur")</f>
        <v>Fine Fur</v>
      </c>
      <c r="G322" s="100" t="str">
        <f>IFERROR(__xludf.DUMMYFUNCTION("""COMPUTED_VALUE"""),"Dragon Horn")</f>
        <v>Dragon Horn</v>
      </c>
      <c r="H322" s="100" t="str">
        <f>IFERROR(__xludf.DUMMYFUNCTION("""COMPUTED_VALUE"""),"Drustan's Labyrinth - Trial Isle (Night)")</f>
        <v>Drustan's Labyrinth - Trial Isle (Night)</v>
      </c>
    </row>
    <row r="323">
      <c r="A323" s="95"/>
      <c r="B323" s="96" t="str">
        <f>IFERROR(__xludf.DUMMYFUNCTION("""COMPUTED_VALUE"""),"Silver Sabrecat")</f>
        <v>Silver Sabrecat</v>
      </c>
      <c r="C323" s="101" t="str">
        <f>IFERROR(__xludf.DUMMYFUNCTION("""COMPUTED_VALUE"""),"Beast")</f>
        <v>Beast</v>
      </c>
      <c r="D323" s="101">
        <f>IFERROR(__xludf.DUMMYFUNCTION("""COMPUTED_VALUE"""),1018.0)</f>
        <v>1018</v>
      </c>
      <c r="E323" s="101">
        <f>IFERROR(__xludf.DUMMYFUNCTION("""COMPUTED_VALUE"""),170.0)</f>
        <v>170</v>
      </c>
      <c r="F323" s="101" t="str">
        <f>IFERROR(__xludf.DUMMYFUNCTION("""COMPUTED_VALUE"""),"Fine Fur")</f>
        <v>Fine Fur</v>
      </c>
      <c r="G323" s="101" t="str">
        <f>IFERROR(__xludf.DUMMYFUNCTION("""COMPUTED_VALUE"""),"Twisted Talons")</f>
        <v>Twisted Talons</v>
      </c>
      <c r="H323" s="101"/>
    </row>
    <row r="324">
      <c r="A324" s="92"/>
      <c r="B324" s="93" t="str">
        <f>IFERROR(__xludf.DUMMYFUNCTION("""COMPUTED_VALUE"""),"Vicious Face Invader")</f>
        <v>Vicious Face Invader</v>
      </c>
      <c r="C324" s="100" t="str">
        <f>IFERROR(__xludf.DUMMYFUNCTION("""COMPUTED_VALUE"""),"Machine")</f>
        <v>Machine</v>
      </c>
      <c r="D324" s="100">
        <f>IFERROR(__xludf.DUMMYFUNCTION("""COMPUTED_VALUE"""),1616.0)</f>
        <v>1616</v>
      </c>
      <c r="E324" s="100">
        <f>IFERROR(__xludf.DUMMYFUNCTION("""COMPUTED_VALUE"""),352.0)</f>
        <v>352</v>
      </c>
      <c r="F324" s="100" t="str">
        <f>IFERROR(__xludf.DUMMYFUNCTION("""COMPUTED_VALUE"""),"Lava Lump")</f>
        <v>Lava Lump</v>
      </c>
      <c r="G324" s="100" t="str">
        <f>IFERROR(__xludf.DUMMYFUNCTION("""COMPUTED_VALUE"""),"Royal Ruby")</f>
        <v>Royal Ruby</v>
      </c>
      <c r="H324" s="100" t="str">
        <f>IFERROR(__xludf.DUMMYFUNCTION("""COMPUTED_VALUE"""),"Drustan's Labyrinth - Trial Isle, Luminary's Trial")</f>
        <v>Drustan's Labyrinth - Trial Isle, Luminary's Trial</v>
      </c>
    </row>
    <row r="325">
      <c r="A325" s="95"/>
      <c r="B325" s="96" t="str">
        <f>IFERROR(__xludf.DUMMYFUNCTION("""COMPUTED_VALUE"""),"Cureslime")</f>
        <v>Cureslime</v>
      </c>
      <c r="C325" s="101" t="str">
        <f>IFERROR(__xludf.DUMMYFUNCTION("""COMPUTED_VALUE"""),"Slime")</f>
        <v>Slime</v>
      </c>
      <c r="D325" s="101">
        <f>IFERROR(__xludf.DUMMYFUNCTION("""COMPUTED_VALUE"""),791.0)</f>
        <v>791</v>
      </c>
      <c r="E325" s="101">
        <f>IFERROR(__xludf.DUMMYFUNCTION("""COMPUTED_VALUE"""),144.0)</f>
        <v>144</v>
      </c>
      <c r="F325" s="101" t="str">
        <f>IFERROR(__xludf.DUMMYFUNCTION("""COMPUTED_VALUE"""),"Slimedrop")</f>
        <v>Slimedrop</v>
      </c>
      <c r="G325" s="101" t="str">
        <f>IFERROR(__xludf.DUMMYFUNCTION("""COMPUTED_VALUE"""),"Perfect Panacea")</f>
        <v>Perfect Panacea</v>
      </c>
      <c r="H325" s="101" t="str">
        <f>IFERROR(__xludf.DUMMYFUNCTION("""COMPUTED_VALUE"""),"Insula Orientalis")</f>
        <v>Insula Orientalis</v>
      </c>
    </row>
    <row r="326">
      <c r="A326" s="92"/>
      <c r="B326" s="93" t="str">
        <f>IFERROR(__xludf.DUMMYFUNCTION("""COMPUTED_VALUE"""),"Killing Machine")</f>
        <v>Killing Machine</v>
      </c>
      <c r="C326" s="100" t="str">
        <f>IFERROR(__xludf.DUMMYFUNCTION("""COMPUTED_VALUE"""),"Machine")</f>
        <v>Machine</v>
      </c>
      <c r="D326" s="100">
        <f>IFERROR(__xludf.DUMMYFUNCTION("""COMPUTED_VALUE"""),1144.0)</f>
        <v>1144</v>
      </c>
      <c r="E326" s="100">
        <f>IFERROR(__xludf.DUMMYFUNCTION("""COMPUTED_VALUE"""),180.0)</f>
        <v>180</v>
      </c>
      <c r="F326" s="100" t="str">
        <f>IFERROR(__xludf.DUMMYFUNCTION("""COMPUTED_VALUE"""),"Platinum Ore")</f>
        <v>Platinum Ore</v>
      </c>
      <c r="G326" s="100" t="str">
        <f>IFERROR(__xludf.DUMMYFUNCTION("""COMPUTED_VALUE"""),"Spiked Armour")</f>
        <v>Spiked Armour</v>
      </c>
      <c r="H326" s="100"/>
    </row>
    <row r="327">
      <c r="A327" s="105"/>
      <c r="B327" s="103" t="str">
        <f>IFERROR(__xludf.DUMMYFUNCTION("""COMPUTED_VALUE"""),"Type G0 (Rarefied)")</f>
        <v>Type G0 (Rarefied)</v>
      </c>
      <c r="C327" s="96" t="str">
        <f>IFERROR(__xludf.DUMMYFUNCTION("""COMPUTED_VALUE"""),"Machine")</f>
        <v>Machine</v>
      </c>
      <c r="D327" s="96">
        <f>IFERROR(__xludf.DUMMYFUNCTION("""COMPUTED_VALUE"""),4615.0)</f>
        <v>4615</v>
      </c>
      <c r="E327" s="96">
        <f>IFERROR(__xludf.DUMMYFUNCTION("""COMPUTED_VALUE"""),920.0)</f>
        <v>920</v>
      </c>
      <c r="F327" s="96" t="str">
        <f>IFERROR(__xludf.DUMMYFUNCTION("""COMPUTED_VALUE"""),"Chronocrystal")</f>
        <v>Chronocrystal</v>
      </c>
      <c r="G327" s="96" t="str">
        <f>IFERROR(__xludf.DUMMYFUNCTION("""COMPUTED_VALUE"""),"Monarchic Mark")</f>
        <v>Monarchic Mark</v>
      </c>
      <c r="H327" s="96" t="str">
        <f>IFERROR(__xludf.DUMMYFUNCTION("""COMPUTED_VALUE"""),"The Snaerfelt: rare Killing Machine")</f>
        <v>The Snaerfelt: rare Killing Machine</v>
      </c>
    </row>
    <row r="328">
      <c r="A328" s="106" t="str">
        <f>IFERROR(__xludf.DUMMYFUNCTION("""COMPUTED_VALUE"""),"P17")</f>
        <v>P17</v>
      </c>
      <c r="B328" s="93" t="str">
        <f>IFERROR(__xludf.DUMMYFUNCTION("""COMPUTED_VALUE"""),"Vicious Crack-Billed Platypunk")</f>
        <v>Vicious Crack-Billed Platypunk</v>
      </c>
      <c r="C328" s="100" t="str">
        <f>IFERROR(__xludf.DUMMYFUNCTION("""COMPUTED_VALUE"""),"Beast")</f>
        <v>Beast</v>
      </c>
      <c r="D328" s="100">
        <f>IFERROR(__xludf.DUMMYFUNCTION("""COMPUTED_VALUE"""),1329.0)</f>
        <v>1329</v>
      </c>
      <c r="E328" s="100">
        <f>IFERROR(__xludf.DUMMYFUNCTION("""COMPUTED_VALUE"""),329.0)</f>
        <v>329</v>
      </c>
      <c r="F328" s="100" t="str">
        <f>IFERROR(__xludf.DUMMYFUNCTION("""COMPUTED_VALUE"""),"Fine Fur")</f>
        <v>Fine Fur</v>
      </c>
      <c r="G328" s="100" t="str">
        <f>IFERROR(__xludf.DUMMYFUNCTION("""COMPUTED_VALUE"""),"Hairy Vest")</f>
        <v>Hairy Vest</v>
      </c>
      <c r="H328" s="100" t="str">
        <f>IFERROR(__xludf.DUMMYFUNCTION("""COMPUTED_VALUE"""),"Sage's Trial - Fierce Forest")</f>
        <v>Sage's Trial - Fierce Forest</v>
      </c>
    </row>
    <row r="329">
      <c r="A329" s="95"/>
      <c r="B329" s="96" t="str">
        <f>IFERROR(__xludf.DUMMYFUNCTION("""COMPUTED_VALUE"""),"Heavy Hood")</f>
        <v>Heavy Hood</v>
      </c>
      <c r="C329" s="101" t="str">
        <f>IFERROR(__xludf.DUMMYFUNCTION("""COMPUTED_VALUE"""),"Humanoid")</f>
        <v>Humanoid</v>
      </c>
      <c r="D329" s="101">
        <f>IFERROR(__xludf.DUMMYFUNCTION("""COMPUTED_VALUE"""),1008.0)</f>
        <v>1008</v>
      </c>
      <c r="E329" s="101">
        <f>IFERROR(__xludf.DUMMYFUNCTION("""COMPUTED_VALUE"""),226.0)</f>
        <v>226</v>
      </c>
      <c r="F329" s="101" t="str">
        <f>IFERROR(__xludf.DUMMYFUNCTION("""COMPUTED_VALUE"""),"Pirate's Hat")</f>
        <v>Pirate's Hat</v>
      </c>
      <c r="G329" s="101" t="str">
        <f>IFERROR(__xludf.DUMMYFUNCTION("""COMPUTED_VALUE"""),"Velvet Cape")</f>
        <v>Velvet Cape</v>
      </c>
      <c r="H329" s="101"/>
    </row>
    <row r="330">
      <c r="A330" s="92"/>
      <c r="B330" s="93" t="str">
        <f>IFERROR(__xludf.DUMMYFUNCTION("""COMPUTED_VALUE"""),"Auroral Serpent")</f>
        <v>Auroral Serpent</v>
      </c>
      <c r="C330" s="100" t="str">
        <f>IFERROR(__xludf.DUMMYFUNCTION("""COMPUTED_VALUE"""),"Dragon")</f>
        <v>Dragon</v>
      </c>
      <c r="D330" s="100">
        <f>IFERROR(__xludf.DUMMYFUNCTION("""COMPUTED_VALUE"""),17000.0)</f>
        <v>17000</v>
      </c>
      <c r="E330" s="100">
        <f>IFERROR(__xludf.DUMMYFUNCTION("""COMPUTED_VALUE"""),9000.0)</f>
        <v>9000</v>
      </c>
      <c r="F330" s="100" t="str">
        <f>IFERROR(__xludf.DUMMYFUNCTION("""COMPUTED_VALUE"""),"--")</f>
        <v>--</v>
      </c>
      <c r="G330" s="100" t="str">
        <f>IFERROR(__xludf.DUMMYFUNCTION("""COMPUTED_VALUE"""),"--")</f>
        <v>--</v>
      </c>
      <c r="H330" s="100" t="str">
        <f>IFERROR(__xludf.DUMMYFUNCTION("""COMPUTED_VALUE"""),"--")</f>
        <v>--</v>
      </c>
    </row>
    <row r="331">
      <c r="A331" s="95"/>
      <c r="B331" s="96" t="str">
        <f>IFERROR(__xludf.DUMMYFUNCTION("""COMPUTED_VALUE"""),"Vicious Runny Eggsoskeleton")</f>
        <v>Vicious Runny Eggsoskeleton</v>
      </c>
      <c r="C331" s="101" t="str">
        <f>IFERROR(__xludf.DUMMYFUNCTION("""COMPUTED_VALUE"""),"Machine")</f>
        <v>Machine</v>
      </c>
      <c r="D331" s="101">
        <f>IFERROR(__xludf.DUMMYFUNCTION("""COMPUTED_VALUE"""),1353.0)</f>
        <v>1353</v>
      </c>
      <c r="E331" s="101">
        <f>IFERROR(__xludf.DUMMYFUNCTION("""COMPUTED_VALUE"""),359.0)</f>
        <v>359</v>
      </c>
      <c r="F331" s="101" t="str">
        <f>IFERROR(__xludf.DUMMYFUNCTION("""COMPUTED_VALUE"""),"Platinum Ore")</f>
        <v>Platinum Ore</v>
      </c>
      <c r="G331" s="101" t="str">
        <f>IFERROR(__xludf.DUMMYFUNCTION("""COMPUTED_VALUE"""),"Royal Ruby")</f>
        <v>Royal Ruby</v>
      </c>
      <c r="H331" s="101" t="str">
        <f>IFERROR(__xludf.DUMMYFUNCTION("""COMPUTED_VALUE"""),"Disciple's Trial - Cruel Crypt")</f>
        <v>Disciple's Trial - Cruel Crypt</v>
      </c>
    </row>
    <row r="332">
      <c r="A332" s="92"/>
      <c r="B332" s="93" t="str">
        <f>IFERROR(__xludf.DUMMYFUNCTION("""COMPUTED_VALUE"""),"Bloody Hand")</f>
        <v>Bloody Hand</v>
      </c>
      <c r="C332" s="100" t="str">
        <f>IFERROR(__xludf.DUMMYFUNCTION("""COMPUTED_VALUE"""),"Undead")</f>
        <v>Undead</v>
      </c>
      <c r="D332" s="100">
        <f>IFERROR(__xludf.DUMMYFUNCTION("""COMPUTED_VALUE"""),797.0)</f>
        <v>797</v>
      </c>
      <c r="E332" s="100">
        <f>IFERROR(__xludf.DUMMYFUNCTION("""COMPUTED_VALUE"""),160.0)</f>
        <v>160</v>
      </c>
      <c r="F332" s="100" t="str">
        <f>IFERROR(__xludf.DUMMYFUNCTION("""COMPUTED_VALUE"""),"Red Eye")</f>
        <v>Red Eye</v>
      </c>
      <c r="G332" s="100" t="str">
        <f>IFERROR(__xludf.DUMMYFUNCTION("""COMPUTED_VALUE"""),"Royal Ruby")</f>
        <v>Royal Ruby</v>
      </c>
      <c r="H332" s="100"/>
    </row>
    <row r="333">
      <c r="A333" s="95"/>
      <c r="B333" s="96" t="str">
        <f>IFERROR(__xludf.DUMMYFUNCTION("""COMPUTED_VALUE"""),"Bomboulder")</f>
        <v>Bomboulder</v>
      </c>
      <c r="C333" s="101" t="str">
        <f>IFERROR(__xludf.DUMMYFUNCTION("""COMPUTED_VALUE"""),"Material")</f>
        <v>Material</v>
      </c>
      <c r="D333" s="101">
        <f>IFERROR(__xludf.DUMMYFUNCTION("""COMPUTED_VALUE"""),1038.0)</f>
        <v>1038</v>
      </c>
      <c r="E333" s="101">
        <f>IFERROR(__xludf.DUMMYFUNCTION("""COMPUTED_VALUE"""),173.0)</f>
        <v>173</v>
      </c>
      <c r="F333" s="101" t="str">
        <f>IFERROR(__xludf.DUMMYFUNCTION("""COMPUTED_VALUE"""),"Dieamend")</f>
        <v>Dieamend</v>
      </c>
      <c r="G333" s="101" t="str">
        <f>IFERROR(__xludf.DUMMYFUNCTION("""COMPUTED_VALUE"""),"Yggdrasil Dew")</f>
        <v>Yggdrasil Dew</v>
      </c>
      <c r="H333" s="101"/>
    </row>
    <row r="334">
      <c r="A334" s="92"/>
      <c r="B334" s="93" t="str">
        <f>IFERROR(__xludf.DUMMYFUNCTION("""COMPUTED_VALUE"""),"Vicious Ethereal Serpent")</f>
        <v>Vicious Ethereal Serpent</v>
      </c>
      <c r="C334" s="100" t="str">
        <f>IFERROR(__xludf.DUMMYFUNCTION("""COMPUTED_VALUE"""),"Dragon")</f>
        <v>Dragon</v>
      </c>
      <c r="D334" s="100">
        <f>IFERROR(__xludf.DUMMYFUNCTION("""COMPUTED_VALUE"""),3015.0)</f>
        <v>3015</v>
      </c>
      <c r="E334" s="100">
        <f>IFERROR(__xludf.DUMMYFUNCTION("""COMPUTED_VALUE"""),412.0)</f>
        <v>412</v>
      </c>
      <c r="F334" s="100" t="str">
        <f>IFERROR(__xludf.DUMMYFUNCTION("""COMPUTED_VALUE"""),"Dragon Horn")</f>
        <v>Dragon Horn</v>
      </c>
      <c r="G334" s="100" t="str">
        <f>IFERROR(__xludf.DUMMYFUNCTION("""COMPUTED_VALUE"""),"Dragon Scale")</f>
        <v>Dragon Scale</v>
      </c>
      <c r="H334" s="100" t="str">
        <f>IFERROR(__xludf.DUMMYFUNCTION("""COMPUTED_VALUE"""),"Drustan's Labyrinth - Trial Isle")</f>
        <v>Drustan's Labyrinth - Trial Isle</v>
      </c>
    </row>
    <row r="335">
      <c r="A335" s="95"/>
      <c r="B335" s="96" t="str">
        <f>IFERROR(__xludf.DUMMYFUNCTION("""COMPUTED_VALUE"""),"Vicious Hypothermion")</f>
        <v>Vicious Hypothermion</v>
      </c>
      <c r="C335" s="101" t="str">
        <f>IFERROR(__xludf.DUMMYFUNCTION("""COMPUTED_VALUE"""),"Demon")</f>
        <v>Demon</v>
      </c>
      <c r="D335" s="101">
        <f>IFERROR(__xludf.DUMMYFUNCTION("""COMPUTED_VALUE"""),2025.0)</f>
        <v>2025</v>
      </c>
      <c r="E335" s="101">
        <f>IFERROR(__xludf.DUMMYFUNCTION("""COMPUTED_VALUE"""),546.0)</f>
        <v>546</v>
      </c>
      <c r="F335" s="101" t="str">
        <f>IFERROR(__xludf.DUMMYFUNCTION("""COMPUTED_VALUE"""),"Artful Amethyst")</f>
        <v>Artful Amethyst</v>
      </c>
      <c r="G335" s="101" t="str">
        <f>IFERROR(__xludf.DUMMYFUNCTION("""COMPUTED_VALUE"""),"Seed of Magic")</f>
        <v>Seed of Magic</v>
      </c>
      <c r="H335" s="101" t="str">
        <f>IFERROR(__xludf.DUMMYFUNCTION("""COMPUTED_VALUE"""),"Sage's Trial - Hoarder's Keep (Day)")</f>
        <v>Sage's Trial - Hoarder's Keep (Day)</v>
      </c>
    </row>
    <row r="336">
      <c r="A336" s="92"/>
      <c r="B336" s="93" t="str">
        <f>IFERROR(__xludf.DUMMYFUNCTION("""COMPUTED_VALUE"""),"Vicious Walking Corpse")</f>
        <v>Vicious Walking Corpse</v>
      </c>
      <c r="C336" s="100" t="str">
        <f>IFERROR(__xludf.DUMMYFUNCTION("""COMPUTED_VALUE"""),"Undead")</f>
        <v>Undead</v>
      </c>
      <c r="D336" s="100">
        <f>IFERROR(__xludf.DUMMYFUNCTION("""COMPUTED_VALUE"""),1189.0)</f>
        <v>1189</v>
      </c>
      <c r="E336" s="100">
        <f>IFERROR(__xludf.DUMMYFUNCTION("""COMPUTED_VALUE"""),306.0)</f>
        <v>306</v>
      </c>
      <c r="F336" s="100" t="str">
        <f>IFERROR(__xludf.DUMMYFUNCTION("""COMPUTED_VALUE"""),"Antidotal Herb")</f>
        <v>Antidotal Herb</v>
      </c>
      <c r="G336" s="100" t="str">
        <f>IFERROR(__xludf.DUMMYFUNCTION("""COMPUTED_VALUE"""),"Chain Mail")</f>
        <v>Chain Mail</v>
      </c>
      <c r="H336" s="100" t="str">
        <f>IFERROR(__xludf.DUMMYFUNCTION("""COMPUTED_VALUE"""),"Disciple's Trial - Cruel Crypt (Day)")</f>
        <v>Disciple's Trial - Cruel Crypt (Day)</v>
      </c>
    </row>
    <row r="337">
      <c r="A337" s="95"/>
      <c r="B337" s="96" t="str">
        <f>IFERROR(__xludf.DUMMYFUNCTION("""COMPUTED_VALUE"""),"Armful")</f>
        <v>Armful</v>
      </c>
      <c r="C337" s="101" t="str">
        <f>IFERROR(__xludf.DUMMYFUNCTION("""COMPUTED_VALUE"""),"Undead")</f>
        <v>Undead</v>
      </c>
      <c r="D337" s="101">
        <f>IFERROR(__xludf.DUMMYFUNCTION("""COMPUTED_VALUE"""),1299.0)</f>
        <v>1299</v>
      </c>
      <c r="E337" s="101">
        <f>IFERROR(__xludf.DUMMYFUNCTION("""COMPUTED_VALUE"""),235.0)</f>
        <v>235</v>
      </c>
      <c r="F337" s="101" t="str">
        <f>IFERROR(__xludf.DUMMYFUNCTION("""COMPUTED_VALUE"""),"Big Bone")</f>
        <v>Big Bone</v>
      </c>
      <c r="G337" s="101" t="str">
        <f>IFERROR(__xludf.DUMMYFUNCTION("""COMPUTED_VALUE"""),"Bandit Mail")</f>
        <v>Bandit Mail</v>
      </c>
      <c r="H337" s="101"/>
    </row>
    <row r="338">
      <c r="A338" s="92"/>
      <c r="B338" s="93" t="str">
        <f>IFERROR(__xludf.DUMMYFUNCTION("""COMPUTED_VALUE"""),"Hardy Hand")</f>
        <v>Hardy Hand</v>
      </c>
      <c r="C338" s="100" t="str">
        <f>IFERROR(__xludf.DUMMYFUNCTION("""COMPUTED_VALUE"""),"Undead")</f>
        <v>Undead</v>
      </c>
      <c r="D338" s="100">
        <f>IFERROR(__xludf.DUMMYFUNCTION("""COMPUTED_VALUE"""),34400.0)</f>
        <v>34400</v>
      </c>
      <c r="E338" s="100">
        <f>IFERROR(__xludf.DUMMYFUNCTION("""COMPUTED_VALUE"""),100.0)</f>
        <v>100</v>
      </c>
      <c r="F338" s="100" t="str">
        <f>IFERROR(__xludf.DUMMYFUNCTION("""COMPUTED_VALUE"""),"Glass Frit")</f>
        <v>Glass Frit</v>
      </c>
      <c r="G338" s="100" t="str">
        <f>IFERROR(__xludf.DUMMYFUNCTION("""COMPUTED_VALUE"""),"Molten Globules")</f>
        <v>Molten Globules</v>
      </c>
      <c r="H338" s="100" t="str">
        <f>IFERROR(__xludf.DUMMYFUNCTION("""COMPUTED_VALUE"""),"Mount Huji, The Champs Sauvage")</f>
        <v>Mount Huji, The Champs Sauvage</v>
      </c>
    </row>
    <row r="339">
      <c r="A339" s="95"/>
      <c r="B339" s="96" t="str">
        <f>IFERROR(__xludf.DUMMYFUNCTION("""COMPUTED_VALUE"""),"Dark Sabrecub")</f>
        <v>Dark Sabrecub</v>
      </c>
      <c r="C339" s="101" t="str">
        <f>IFERROR(__xludf.DUMMYFUNCTION("""COMPUTED_VALUE"""),"Beast")</f>
        <v>Beast</v>
      </c>
      <c r="D339" s="101">
        <f>IFERROR(__xludf.DUMMYFUNCTION("""COMPUTED_VALUE"""),767.0)</f>
        <v>767</v>
      </c>
      <c r="E339" s="101">
        <f>IFERROR(__xludf.DUMMYFUNCTION("""COMPUTED_VALUE"""),181.0)</f>
        <v>181</v>
      </c>
      <c r="F339" s="101" t="str">
        <f>IFERROR(__xludf.DUMMYFUNCTION("""COMPUTED_VALUE"""),"Magic Beast Hide")</f>
        <v>Magic Beast Hide</v>
      </c>
      <c r="G339" s="101" t="str">
        <f>IFERROR(__xludf.DUMMYFUNCTION("""COMPUTED_VALUE"""),"Evencloth")</f>
        <v>Evencloth</v>
      </c>
      <c r="H339" s="101" t="str">
        <f>IFERROR(__xludf.DUMMYFUNCTION("""COMPUTED_VALUE"""),"Zwaardsrust Region, Zwaardsrust - Whale Way Station")</f>
        <v>Zwaardsrust Region, Zwaardsrust - Whale Way Station</v>
      </c>
    </row>
    <row r="340">
      <c r="A340" s="92"/>
      <c r="B340" s="93" t="str">
        <f>IFERROR(__xludf.DUMMYFUNCTION("""COMPUTED_VALUE"""),"Balhib")</f>
        <v>Balhib</v>
      </c>
      <c r="C340" s="100" t="str">
        <f>IFERROR(__xludf.DUMMYFUNCTION("""COMPUTED_VALUE"""),"Demon")</f>
        <v>Demon</v>
      </c>
      <c r="D340" s="100">
        <f>IFERROR(__xludf.DUMMYFUNCTION("""COMPUTED_VALUE"""),1457.0)</f>
        <v>1457</v>
      </c>
      <c r="E340" s="100">
        <f>IFERROR(__xludf.DUMMYFUNCTION("""COMPUTED_VALUE"""),523.0)</f>
        <v>523</v>
      </c>
      <c r="F340" s="100" t="str">
        <f>IFERROR(__xludf.DUMMYFUNCTION("""COMPUTED_VALUE"""),"Drasilian Sovereign")</f>
        <v>Drasilian Sovereign</v>
      </c>
      <c r="G340" s="100" t="str">
        <f>IFERROR(__xludf.DUMMYFUNCTION("""COMPUTED_VALUE"""),"Gold Bar")</f>
        <v>Gold Bar</v>
      </c>
      <c r="H340" s="100"/>
    </row>
    <row r="341">
      <c r="A341" s="95"/>
      <c r="B341" s="96" t="str">
        <f>IFERROR(__xludf.DUMMYFUNCTION("""COMPUTED_VALUE"""),"Vicious Goobonce")</f>
        <v>Vicious Goobonce</v>
      </c>
      <c r="C341" s="101" t="str">
        <f>IFERROR(__xludf.DUMMYFUNCTION("""COMPUTED_VALUE"""),"Demon")</f>
        <v>Demon</v>
      </c>
      <c r="D341" s="101">
        <f>IFERROR(__xludf.DUMMYFUNCTION("""COMPUTED_VALUE"""),1239.0)</f>
        <v>1239</v>
      </c>
      <c r="E341" s="101">
        <f>IFERROR(__xludf.DUMMYFUNCTION("""COMPUTED_VALUE"""),311.0)</f>
        <v>311</v>
      </c>
      <c r="F341" s="101" t="str">
        <f>IFERROR(__xludf.DUMMYFUNCTION("""COMPUTED_VALUE"""),"Toad Oil")</f>
        <v>Toad Oil</v>
      </c>
      <c r="G341" s="101" t="str">
        <f>IFERROR(__xludf.DUMMYFUNCTION("""COMPUTED_VALUE"""),"Royal Ruby")</f>
        <v>Royal Ruby</v>
      </c>
      <c r="H341" s="101" t="str">
        <f>IFERROR(__xludf.DUMMYFUNCTION("""COMPUTED_VALUE"""),"Drustan's Labyrinth - Trial Isle (Day)")</f>
        <v>Drustan's Labyrinth - Trial Isle (Day)</v>
      </c>
    </row>
    <row r="342">
      <c r="A342" s="92"/>
      <c r="B342" s="93" t="str">
        <f>IFERROR(__xludf.DUMMYFUNCTION("""COMPUTED_VALUE"""),"Vicious Bloodbonnet")</f>
        <v>Vicious Bloodbonnet</v>
      </c>
      <c r="C342" s="100" t="str">
        <f>IFERROR(__xludf.DUMMYFUNCTION("""COMPUTED_VALUE"""),"Demon")</f>
        <v>Demon</v>
      </c>
      <c r="D342" s="100">
        <f>IFERROR(__xludf.DUMMYFUNCTION("""COMPUTED_VALUE"""),1241.0)</f>
        <v>1241</v>
      </c>
      <c r="E342" s="100">
        <f>IFERROR(__xludf.DUMMYFUNCTION("""COMPUTED_VALUE"""),311.0)</f>
        <v>311</v>
      </c>
      <c r="F342" s="100" t="str">
        <f>IFERROR(__xludf.DUMMYFUNCTION("""COMPUTED_VALUE"""),"Snakeskin")</f>
        <v>Snakeskin</v>
      </c>
      <c r="G342" s="100" t="str">
        <f>IFERROR(__xludf.DUMMYFUNCTION("""COMPUTED_VALUE"""),"Savvy Sapphire")</f>
        <v>Savvy Sapphire</v>
      </c>
      <c r="H342" s="100" t="str">
        <f>IFERROR(__xludf.DUMMYFUNCTION("""COMPUTED_VALUE"""),"Drustan's Labyrinth - Trial Isle (Day)")</f>
        <v>Drustan's Labyrinth - Trial Isle (Day)</v>
      </c>
    </row>
    <row r="343">
      <c r="A343" s="95"/>
      <c r="B343" s="96" t="str">
        <f>IFERROR(__xludf.DUMMYFUNCTION("""COMPUTED_VALUE"""),"Caped Caperer")</f>
        <v>Caped Caperer</v>
      </c>
      <c r="C343" s="101" t="str">
        <f>IFERROR(__xludf.DUMMYFUNCTION("""COMPUTED_VALUE"""),"Demon")</f>
        <v>Demon</v>
      </c>
      <c r="D343" s="101">
        <f>IFERROR(__xludf.DUMMYFUNCTION("""COMPUTED_VALUE"""),963.0)</f>
        <v>963</v>
      </c>
      <c r="E343" s="101">
        <f>IFERROR(__xludf.DUMMYFUNCTION("""COMPUTED_VALUE"""),180.0)</f>
        <v>180</v>
      </c>
      <c r="F343" s="101" t="str">
        <f>IFERROR(__xludf.DUMMYFUNCTION("""COMPUTED_VALUE"""),"Extra Mural")</f>
        <v>Extra Mural</v>
      </c>
      <c r="G343" s="101" t="str">
        <f>IFERROR(__xludf.DUMMYFUNCTION("""COMPUTED_VALUE"""),"Devil's Tail")</f>
        <v>Devil's Tail</v>
      </c>
      <c r="H343" s="101"/>
    </row>
    <row r="344">
      <c r="A344" s="92"/>
      <c r="B344" s="93" t="str">
        <f>IFERROR(__xludf.DUMMYFUNCTION("""COMPUTED_VALUE"""),"Vicious Very Devil")</f>
        <v>Vicious Very Devil</v>
      </c>
      <c r="C344" s="100" t="str">
        <f>IFERROR(__xludf.DUMMYFUNCTION("""COMPUTED_VALUE"""),"Demon")</f>
        <v>Demon</v>
      </c>
      <c r="D344" s="100">
        <f>IFERROR(__xludf.DUMMYFUNCTION("""COMPUTED_VALUE"""),1535.0)</f>
        <v>1535</v>
      </c>
      <c r="E344" s="100">
        <f>IFERROR(__xludf.DUMMYFUNCTION("""COMPUTED_VALUE"""),332.0)</f>
        <v>332</v>
      </c>
      <c r="F344" s="100" t="str">
        <f>IFERROR(__xludf.DUMMYFUNCTION("""COMPUTED_VALUE"""),"Magic Water")</f>
        <v>Magic Water</v>
      </c>
      <c r="G344" s="100" t="str">
        <f>IFERROR(__xludf.DUMMYFUNCTION("""COMPUTED_VALUE"""),"Enchanted Stone")</f>
        <v>Enchanted Stone</v>
      </c>
      <c r="H344" s="100" t="str">
        <f>IFERROR(__xludf.DUMMYFUNCTION("""COMPUTED_VALUE"""),"Sage's Trial - Hoarder's Keep (Night)")</f>
        <v>Sage's Trial - Hoarder's Keep (Night)</v>
      </c>
    </row>
    <row r="345">
      <c r="A345" s="95"/>
      <c r="B345" s="96" t="str">
        <f>IFERROR(__xludf.DUMMYFUNCTION("""COMPUTED_VALUE"""),"Vicious Midnight Horknight")</f>
        <v>Vicious Midnight Horknight</v>
      </c>
      <c r="C345" s="101" t="str">
        <f>IFERROR(__xludf.DUMMYFUNCTION("""COMPUTED_VALUE"""),"Humanoid")</f>
        <v>Humanoid</v>
      </c>
      <c r="D345" s="101">
        <f>IFERROR(__xludf.DUMMYFUNCTION("""COMPUTED_VALUE"""),1555.0)</f>
        <v>1555</v>
      </c>
      <c r="E345" s="101">
        <f>IFERROR(__xludf.DUMMYFUNCTION("""COMPUTED_VALUE"""),309.0)</f>
        <v>309</v>
      </c>
      <c r="F345" s="101" t="str">
        <f>IFERROR(__xludf.DUMMYFUNCTION("""COMPUTED_VALUE"""),"Blue Eye")</f>
        <v>Blue Eye</v>
      </c>
      <c r="G345" s="101" t="str">
        <f>IFERROR(__xludf.DUMMYFUNCTION("""COMPUTED_VALUE"""),"Iron Mask")</f>
        <v>Iron Mask</v>
      </c>
      <c r="H345" s="101" t="str">
        <f>IFERROR(__xludf.DUMMYFUNCTION("""COMPUTED_VALUE"""),"Sage's Trial - Fierce Forest (Day)")</f>
        <v>Sage's Trial - Fierce Forest (Day)</v>
      </c>
    </row>
    <row r="346">
      <c r="A346" s="92"/>
      <c r="B346" s="93" t="str">
        <f>IFERROR(__xludf.DUMMYFUNCTION("""COMPUTED_VALUE"""),"Vicious Morphean Mushroom")</f>
        <v>Vicious Morphean Mushroom</v>
      </c>
      <c r="C346" s="100" t="str">
        <f>IFERROR(__xludf.DUMMYFUNCTION("""COMPUTED_VALUE"""),"Nature")</f>
        <v>Nature</v>
      </c>
      <c r="D346" s="100">
        <f>IFERROR(__xludf.DUMMYFUNCTION("""COMPUTED_VALUE"""),1420.0)</f>
        <v>1420</v>
      </c>
      <c r="E346" s="100">
        <f>IFERROR(__xludf.DUMMYFUNCTION("""COMPUTED_VALUE"""),384.0)</f>
        <v>384</v>
      </c>
      <c r="F346" s="100" t="str">
        <f>IFERROR(__xludf.DUMMYFUNCTION("""COMPUTED_VALUE"""),"Wakerobin")</f>
        <v>Wakerobin</v>
      </c>
      <c r="G346" s="100" t="str">
        <f>IFERROR(__xludf.DUMMYFUNCTION("""COMPUTED_VALUE"""),"Belle Cap")</f>
        <v>Belle Cap</v>
      </c>
      <c r="H346" s="100" t="str">
        <f>IFERROR(__xludf.DUMMYFUNCTION("""COMPUTED_VALUE"""),"Sage's Trial - Fierce Forest (Night)")</f>
        <v>Sage's Trial - Fierce Forest (Night)</v>
      </c>
    </row>
    <row r="347">
      <c r="A347" s="105"/>
      <c r="B347" s="96" t="str">
        <f>IFERROR(__xludf.DUMMYFUNCTION("""COMPUTED_VALUE"""),"Kisser")</f>
        <v>Kisser</v>
      </c>
      <c r="C347" s="101" t="str">
        <f>IFERROR(__xludf.DUMMYFUNCTION("""COMPUTED_VALUE"""),"Nature")</f>
        <v>Nature</v>
      </c>
      <c r="D347" s="101">
        <f>IFERROR(__xludf.DUMMYFUNCTION("""COMPUTED_VALUE"""),872.0)</f>
        <v>872</v>
      </c>
      <c r="E347" s="101">
        <f>IFERROR(__xludf.DUMMYFUNCTION("""COMPUTED_VALUE"""),188.0)</f>
        <v>188</v>
      </c>
      <c r="F347" s="101" t="str">
        <f>IFERROR(__xludf.DUMMYFUNCTION("""COMPUTED_VALUE"""),"Narspicious")</f>
        <v>Narspicious</v>
      </c>
      <c r="G347" s="101" t="str">
        <f>IFERROR(__xludf.DUMMYFUNCTION("""COMPUTED_VALUE"""),"Pretty Betsy")</f>
        <v>Pretty Betsy</v>
      </c>
      <c r="H347" s="101"/>
    </row>
    <row r="348">
      <c r="A348" s="106" t="str">
        <f>IFERROR(__xludf.DUMMYFUNCTION("""COMPUTED_VALUE"""),"P18")</f>
        <v>P18</v>
      </c>
      <c r="B348" s="93" t="str">
        <f>IFERROR(__xludf.DUMMYFUNCTION("""COMPUTED_VALUE"""),"Vicious Toxic Toad")</f>
        <v>Vicious Toxic Toad</v>
      </c>
      <c r="C348" s="100" t="str">
        <f>IFERROR(__xludf.DUMMYFUNCTION("""COMPUTED_VALUE"""),"Nature")</f>
        <v>Nature</v>
      </c>
      <c r="D348" s="100">
        <f>IFERROR(__xludf.DUMMYFUNCTION("""COMPUTED_VALUE"""),1265.0)</f>
        <v>1265</v>
      </c>
      <c r="E348" s="100">
        <f>IFERROR(__xludf.DUMMYFUNCTION("""COMPUTED_VALUE"""),304.0)</f>
        <v>304</v>
      </c>
      <c r="F348" s="100" t="str">
        <f>IFERROR(__xludf.DUMMYFUNCTION("""COMPUTED_VALUE"""),"Toad Oil")</f>
        <v>Toad Oil</v>
      </c>
      <c r="G348" s="100" t="str">
        <f>IFERROR(__xludf.DUMMYFUNCTION("""COMPUTED_VALUE"""),"Special Antidote")</f>
        <v>Special Antidote</v>
      </c>
      <c r="H348" s="100" t="str">
        <f>IFERROR(__xludf.DUMMYFUNCTION("""COMPUTED_VALUE"""),"Disciple's Trial - Eerie Valley (Day)")</f>
        <v>Disciple's Trial - Eerie Valley (Day)</v>
      </c>
    </row>
    <row r="349">
      <c r="A349" s="95"/>
      <c r="B349" s="96" t="str">
        <f>IFERROR(__xludf.DUMMYFUNCTION("""COMPUTED_VALUE"""),"Vicious Gloomy Grublin")</f>
        <v>Vicious Gloomy Grublin</v>
      </c>
      <c r="C349" s="101" t="str">
        <f>IFERROR(__xludf.DUMMYFUNCTION("""COMPUTED_VALUE"""),"Humanoid")</f>
        <v>Humanoid</v>
      </c>
      <c r="D349" s="101">
        <f>IFERROR(__xludf.DUMMYFUNCTION("""COMPUTED_VALUE"""),1303.0)</f>
        <v>1303</v>
      </c>
      <c r="E349" s="101">
        <f>IFERROR(__xludf.DUMMYFUNCTION("""COMPUTED_VALUE"""),314.0)</f>
        <v>314</v>
      </c>
      <c r="F349" s="101" t="str">
        <f>IFERROR(__xludf.DUMMYFUNCTION("""COMPUTED_VALUE"""),"Copper Sword")</f>
        <v>Copper Sword</v>
      </c>
      <c r="G349" s="101" t="str">
        <f>IFERROR(__xludf.DUMMYFUNCTION("""COMPUTED_VALUE"""),"Savvy Sapphire")</f>
        <v>Savvy Sapphire</v>
      </c>
      <c r="H349" s="101" t="str">
        <f>IFERROR(__xludf.DUMMYFUNCTION("""COMPUTED_VALUE"""),"Disciple's Trial - Cruel Crypt (Day)")</f>
        <v>Disciple's Trial - Cruel Crypt (Day)</v>
      </c>
    </row>
    <row r="350">
      <c r="A350" s="92"/>
      <c r="B350" s="93" t="str">
        <f>IFERROR(__xludf.DUMMYFUNCTION("""COMPUTED_VALUE"""),"Vicious Restless Armour")</f>
        <v>Vicious Restless Armour</v>
      </c>
      <c r="C350" s="100" t="str">
        <f>IFERROR(__xludf.DUMMYFUNCTION("""COMPUTED_VALUE"""),"Material")</f>
        <v>Material</v>
      </c>
      <c r="D350" s="100">
        <f>IFERROR(__xludf.DUMMYFUNCTION("""COMPUTED_VALUE"""),1389.0)</f>
        <v>1389</v>
      </c>
      <c r="E350" s="100">
        <f>IFERROR(__xludf.DUMMYFUNCTION("""COMPUTED_VALUE"""),363.0)</f>
        <v>363</v>
      </c>
      <c r="F350" s="100" t="str">
        <f>IFERROR(__xludf.DUMMYFUNCTION("""COMPUTED_VALUE"""),"Iron Broadsword")</f>
        <v>Iron Broadsword</v>
      </c>
      <c r="G350" s="100" t="str">
        <f>IFERROR(__xludf.DUMMYFUNCTION("""COMPUTED_VALUE"""),"Iron Armour")</f>
        <v>Iron Armour</v>
      </c>
      <c r="H350" s="100" t="str">
        <f>IFERROR(__xludf.DUMMYFUNCTION("""COMPUTED_VALUE"""),"Disciple's Trial - Cruel Crypt (Day)")</f>
        <v>Disciple's Trial - Cruel Crypt (Day)</v>
      </c>
    </row>
    <row r="351">
      <c r="A351" s="95"/>
      <c r="B351" s="96" t="str">
        <f>IFERROR(__xludf.DUMMYFUNCTION("""COMPUTED_VALUE"""),"Vicious Chimaera")</f>
        <v>Vicious Chimaera</v>
      </c>
      <c r="C351" s="101" t="str">
        <f>IFERROR(__xludf.DUMMYFUNCTION("""COMPUTED_VALUE"""),"Bird")</f>
        <v>Bird</v>
      </c>
      <c r="D351" s="101">
        <f>IFERROR(__xludf.DUMMYFUNCTION("""COMPUTED_VALUE"""),1238.0)</f>
        <v>1238</v>
      </c>
      <c r="E351" s="101">
        <f>IFERROR(__xludf.DUMMYFUNCTION("""COMPUTED_VALUE"""),273.0)</f>
        <v>273</v>
      </c>
      <c r="F351" s="101" t="str">
        <f>IFERROR(__xludf.DUMMYFUNCTION("""COMPUTED_VALUE"""),"Chimaera Wing")</f>
        <v>Chimaera Wing</v>
      </c>
      <c r="G351" s="101" t="str">
        <f>IFERROR(__xludf.DUMMYFUNCTION("""COMPUTED_VALUE"""),"Flurry Feather")</f>
        <v>Flurry Feather</v>
      </c>
      <c r="H351" s="101" t="str">
        <f>IFERROR(__xludf.DUMMYFUNCTION("""COMPUTED_VALUE"""),"Disciple's Trial - Eerie Valley (Day)")</f>
        <v>Disciple's Trial - Eerie Valley (Day)</v>
      </c>
    </row>
    <row r="352">
      <c r="A352" s="92"/>
      <c r="B352" s="93" t="str">
        <f>IFERROR(__xludf.DUMMYFUNCTION("""COMPUTED_VALUE"""),"Robo-Robin")</f>
        <v>Robo-Robin</v>
      </c>
      <c r="C352" s="100" t="str">
        <f>IFERROR(__xludf.DUMMYFUNCTION("""COMPUTED_VALUE"""),"Machine")</f>
        <v>Machine</v>
      </c>
      <c r="D352" s="100">
        <f>IFERROR(__xludf.DUMMYFUNCTION("""COMPUTED_VALUE"""),965.0)</f>
        <v>965</v>
      </c>
      <c r="E352" s="100">
        <f>IFERROR(__xludf.DUMMYFUNCTION("""COMPUTED_VALUE"""),237.0)</f>
        <v>237</v>
      </c>
      <c r="F352" s="100" t="str">
        <f>IFERROR(__xludf.DUMMYFUNCTION("""COMPUTED_VALUE"""),"Densinium")</f>
        <v>Densinium</v>
      </c>
      <c r="G352" s="100" t="str">
        <f>IFERROR(__xludf.DUMMYFUNCTION("""COMPUTED_VALUE"""),"Metal Goomerang")</f>
        <v>Metal Goomerang</v>
      </c>
      <c r="H352" s="100"/>
    </row>
    <row r="353">
      <c r="A353" s="95"/>
      <c r="B353" s="96" t="str">
        <f>IFERROR(__xludf.DUMMYFUNCTION("""COMPUTED_VALUE"""),"Vicious Crabber Dabber Doo")</f>
        <v>Vicious Crabber Dabber Doo</v>
      </c>
      <c r="C353" s="101" t="str">
        <f>IFERROR(__xludf.DUMMYFUNCTION("""COMPUTED_VALUE"""),"Nature")</f>
        <v>Nature</v>
      </c>
      <c r="D353" s="101">
        <f>IFERROR(__xludf.DUMMYFUNCTION("""COMPUTED_VALUE"""),1487.0)</f>
        <v>1487</v>
      </c>
      <c r="E353" s="101">
        <f>IFERROR(__xludf.DUMMYFUNCTION("""COMPUTED_VALUE"""),307.0)</f>
        <v>307</v>
      </c>
      <c r="F353" s="101" t="str">
        <f>IFERROR(__xludf.DUMMYFUNCTION("""COMPUTED_VALUE"""),"Tiny Tortoise Shell")</f>
        <v>Tiny Tortoise Shell</v>
      </c>
      <c r="G353" s="101" t="str">
        <f>IFERROR(__xludf.DUMMYFUNCTION("""COMPUTED_VALUE"""),"Poirson Moth Knife")</f>
        <v>Poirson Moth Knife</v>
      </c>
      <c r="H353" s="101" t="str">
        <f>IFERROR(__xludf.DUMMYFUNCTION("""COMPUTED_VALUE"""),"Disciple's Trial - Eerie Valley (Day)")</f>
        <v>Disciple's Trial - Eerie Valley (Day)</v>
      </c>
    </row>
    <row r="354">
      <c r="A354" s="92"/>
      <c r="B354" s="93" t="str">
        <f>IFERROR(__xludf.DUMMYFUNCTION("""COMPUTED_VALUE"""),"Vicious Drackmage")</f>
        <v>Vicious Drackmage</v>
      </c>
      <c r="C354" s="100" t="str">
        <f>IFERROR(__xludf.DUMMYFUNCTION("""COMPUTED_VALUE"""),"Bird")</f>
        <v>Bird</v>
      </c>
      <c r="D354" s="100">
        <f>IFERROR(__xludf.DUMMYFUNCTION("""COMPUTED_VALUE"""),1114.0)</f>
        <v>1114</v>
      </c>
      <c r="E354" s="100">
        <f>IFERROR(__xludf.DUMMYFUNCTION("""COMPUTED_VALUE"""),284.0)</f>
        <v>284</v>
      </c>
      <c r="F354" s="100" t="str">
        <f>IFERROR(__xludf.DUMMYFUNCTION("""COMPUTED_VALUE"""),"Wing of Bat")</f>
        <v>Wing of Bat</v>
      </c>
      <c r="G354" s="100" t="str">
        <f>IFERROR(__xludf.DUMMYFUNCTION("""COMPUTED_VALUE"""),"Green Eye")</f>
        <v>Green Eye</v>
      </c>
      <c r="H354" s="100" t="str">
        <f>IFERROR(__xludf.DUMMYFUNCTION("""COMPUTED_VALUE"""),"Disciple's Trial - Cruel Crypt (Night)")</f>
        <v>Disciple's Trial - Cruel Crypt (Night)</v>
      </c>
    </row>
    <row r="355">
      <c r="A355" s="95"/>
      <c r="B355" s="96" t="str">
        <f>IFERROR(__xludf.DUMMYFUNCTION("""COMPUTED_VALUE"""),"Vicious Shade")</f>
        <v>Vicious Shade</v>
      </c>
      <c r="C355" s="101" t="str">
        <f>IFERROR(__xludf.DUMMYFUNCTION("""COMPUTED_VALUE"""),"???")</f>
        <v>???</v>
      </c>
      <c r="D355" s="101" t="str">
        <f>IFERROR(__xludf.DUMMYFUNCTION("""COMPUTED_VALUE"""),"--")</f>
        <v>--</v>
      </c>
      <c r="E355" s="101" t="str">
        <f>IFERROR(__xludf.DUMMYFUNCTION("""COMPUTED_VALUE"""),"--")</f>
        <v>--</v>
      </c>
      <c r="F355" s="101" t="str">
        <f>IFERROR(__xludf.DUMMYFUNCTION("""COMPUTED_VALUE"""),"--")</f>
        <v>--</v>
      </c>
      <c r="G355" s="101" t="str">
        <f>IFERROR(__xludf.DUMMYFUNCTION("""COMPUTED_VALUE"""),"--")</f>
        <v>--</v>
      </c>
      <c r="H355" s="101" t="str">
        <f>IFERROR(__xludf.DUMMYFUNCTION("""COMPUTED_VALUE"""),"Disciple's Trial - Cruel Crypt")</f>
        <v>Disciple's Trial - Cruel Crypt</v>
      </c>
    </row>
    <row r="356">
      <c r="A356" s="92"/>
      <c r="B356" s="93" t="str">
        <f>IFERROR(__xludf.DUMMYFUNCTION("""COMPUTED_VALUE"""),"Cactolotl")</f>
        <v>Cactolotl</v>
      </c>
      <c r="C356" s="100" t="str">
        <f>IFERROR(__xludf.DUMMYFUNCTION("""COMPUTED_VALUE"""),"Dragon")</f>
        <v>Dragon</v>
      </c>
      <c r="D356" s="100">
        <f>IFERROR(__xludf.DUMMYFUNCTION("""COMPUTED_VALUE"""),4200.0)</f>
        <v>4200</v>
      </c>
      <c r="E356" s="100">
        <f>IFERROR(__xludf.DUMMYFUNCTION("""COMPUTED_VALUE"""),540.0)</f>
        <v>540</v>
      </c>
      <c r="F356" s="100" t="str">
        <f>IFERROR(__xludf.DUMMYFUNCTION("""COMPUTED_VALUE"""),"Sunny Citrine")</f>
        <v>Sunny Citrine</v>
      </c>
      <c r="G356" s="100" t="str">
        <f>IFERROR(__xludf.DUMMYFUNCTION("""COMPUTED_VALUE"""),"Earthwyrm's Eye")</f>
        <v>Earthwyrm's Eye</v>
      </c>
      <c r="H356" s="100"/>
    </row>
    <row r="357">
      <c r="A357" s="95"/>
      <c r="B357" s="96" t="str">
        <f>IFERROR(__xludf.DUMMYFUNCTION("""COMPUTED_VALUE"""),"Lethal Armour")</f>
        <v>Lethal Armour</v>
      </c>
      <c r="C357" s="101" t="str">
        <f>IFERROR(__xludf.DUMMYFUNCTION("""COMPUTED_VALUE"""),"Material")</f>
        <v>Material</v>
      </c>
      <c r="D357" s="101">
        <f>IFERROR(__xludf.DUMMYFUNCTION("""COMPUTED_VALUE"""),1286.0)</f>
        <v>1286</v>
      </c>
      <c r="E357" s="101">
        <f>IFERROR(__xludf.DUMMYFUNCTION("""COMPUTED_VALUE"""),313.0)</f>
        <v>313</v>
      </c>
      <c r="F357" s="101" t="str">
        <f>IFERROR(__xludf.DUMMYFUNCTION("""COMPUTED_VALUE"""),"Platinum Sword")</f>
        <v>Platinum Sword</v>
      </c>
      <c r="G357" s="101" t="str">
        <f>IFERROR(__xludf.DUMMYFUNCTION("""COMPUTED_VALUE"""),"Platinum Mail")</f>
        <v>Platinum Mail</v>
      </c>
      <c r="H357" s="101"/>
    </row>
    <row r="358">
      <c r="A358" s="92"/>
      <c r="B358" s="93" t="str">
        <f>IFERROR(__xludf.DUMMYFUNCTION("""COMPUTED_VALUE"""),"Evangelizard")</f>
        <v>Evangelizard</v>
      </c>
      <c r="C358" s="100" t="str">
        <f>IFERROR(__xludf.DUMMYFUNCTION("""COMPUTED_VALUE"""),"Dragon")</f>
        <v>Dragon</v>
      </c>
      <c r="D358" s="100">
        <f>IFERROR(__xludf.DUMMYFUNCTION("""COMPUTED_VALUE"""),1338.0)</f>
        <v>1338</v>
      </c>
      <c r="E358" s="100">
        <f>IFERROR(__xludf.DUMMYFUNCTION("""COMPUTED_VALUE"""),292.0)</f>
        <v>292</v>
      </c>
      <c r="F358" s="100" t="str">
        <f>IFERROR(__xludf.DUMMYFUNCTION("""COMPUTED_VALUE"""),"Guru's Gloves")</f>
        <v>Guru's Gloves</v>
      </c>
      <c r="G358" s="100" t="str">
        <f>IFERROR(__xludf.DUMMYFUNCTION("""COMPUTED_VALUE"""),"Seed of Sorcery")</f>
        <v>Seed of Sorcery</v>
      </c>
      <c r="H358" s="100"/>
    </row>
    <row r="359">
      <c r="A359" s="95"/>
      <c r="B359" s="96" t="str">
        <f>IFERROR(__xludf.DUMMYFUNCTION("""COMPUTED_VALUE"""),"Dragooner")</f>
        <v>Dragooner</v>
      </c>
      <c r="C359" s="101" t="str">
        <f>IFERROR(__xludf.DUMMYFUNCTION("""COMPUTED_VALUE"""),"Dragon")</f>
        <v>Dragon</v>
      </c>
      <c r="D359" s="101">
        <f>IFERROR(__xludf.DUMMYFUNCTION("""COMPUTED_VALUE"""),1132.0)</f>
        <v>1132</v>
      </c>
      <c r="E359" s="101">
        <f>IFERROR(__xludf.DUMMYFUNCTION("""COMPUTED_VALUE"""),275.0)</f>
        <v>275</v>
      </c>
      <c r="F359" s="101" t="str">
        <f>IFERROR(__xludf.DUMMYFUNCTION("""COMPUTED_VALUE"""),"Dragon Horn")</f>
        <v>Dragon Horn</v>
      </c>
      <c r="G359" s="101" t="str">
        <f>IFERROR(__xludf.DUMMYFUNCTION("""COMPUTED_VALUE"""),"Wyrmfang")</f>
        <v>Wyrmfang</v>
      </c>
      <c r="H359" s="101"/>
    </row>
    <row r="360">
      <c r="A360" s="92"/>
      <c r="B360" s="93" t="str">
        <f>IFERROR(__xludf.DUMMYFUNCTION("""COMPUTED_VALUE"""),"Sootbonce")</f>
        <v>Sootbonce</v>
      </c>
      <c r="C360" s="100" t="str">
        <f>IFERROR(__xludf.DUMMYFUNCTION("""COMPUTED_VALUE"""),"Demon")</f>
        <v>Demon</v>
      </c>
      <c r="D360" s="100">
        <f>IFERROR(__xludf.DUMMYFUNCTION("""COMPUTED_VALUE"""),882.0)</f>
        <v>882</v>
      </c>
      <c r="E360" s="100">
        <f>IFERROR(__xludf.DUMMYFUNCTION("""COMPUTED_VALUE"""),194.0)</f>
        <v>194</v>
      </c>
      <c r="F360" s="100" t="str">
        <f>IFERROR(__xludf.DUMMYFUNCTION("""COMPUTED_VALUE"""),"Toad Oil")</f>
        <v>Toad Oil</v>
      </c>
      <c r="G360" s="100" t="str">
        <f>IFERROR(__xludf.DUMMYFUNCTION("""COMPUTED_VALUE"""),"Crimson Claws")</f>
        <v>Crimson Claws</v>
      </c>
      <c r="H360" s="100"/>
    </row>
    <row r="361">
      <c r="A361" s="95"/>
      <c r="B361" s="96" t="str">
        <f>IFERROR(__xludf.DUMMYFUNCTION("""COMPUTED_VALUE"""),"Smogbonnet")</f>
        <v>Smogbonnet</v>
      </c>
      <c r="C361" s="101" t="str">
        <f>IFERROR(__xludf.DUMMYFUNCTION("""COMPUTED_VALUE"""),"Demon")</f>
        <v>Demon</v>
      </c>
      <c r="D361" s="101">
        <f>IFERROR(__xludf.DUMMYFUNCTION("""COMPUTED_VALUE"""),953.0)</f>
        <v>953</v>
      </c>
      <c r="E361" s="101">
        <f>IFERROR(__xludf.DUMMYFUNCTION("""COMPUTED_VALUE"""),218.0)</f>
        <v>218</v>
      </c>
      <c r="F361" s="101" t="str">
        <f>IFERROR(__xludf.DUMMYFUNCTION("""COMPUTED_VALUE"""),"Snakeskin")</f>
        <v>Snakeskin</v>
      </c>
      <c r="G361" s="101" t="str">
        <f>IFERROR(__xludf.DUMMYFUNCTION("""COMPUTED_VALUE"""),"Crimson Claws")</f>
        <v>Crimson Claws</v>
      </c>
      <c r="H361" s="101"/>
    </row>
    <row r="362">
      <c r="A362" s="92"/>
      <c r="B362" s="93" t="str">
        <f>IFERROR(__xludf.DUMMYFUNCTION("""COMPUTED_VALUE"""),"Dragon Zombie")</f>
        <v>Dragon Zombie</v>
      </c>
      <c r="C362" s="100" t="str">
        <f>IFERROR(__xludf.DUMMYFUNCTION("""COMPUTED_VALUE"""),"Dragon")</f>
        <v>Dragon</v>
      </c>
      <c r="D362" s="100">
        <f>IFERROR(__xludf.DUMMYFUNCTION("""COMPUTED_VALUE"""),1351.0)</f>
        <v>1351</v>
      </c>
      <c r="E362" s="100">
        <f>IFERROR(__xludf.DUMMYFUNCTION("""COMPUTED_VALUE"""),320.0)</f>
        <v>320</v>
      </c>
      <c r="F362" s="100" t="str">
        <f>IFERROR(__xludf.DUMMYFUNCTION("""COMPUTED_VALUE"""),"Dragon Horn")</f>
        <v>Dragon Horn</v>
      </c>
      <c r="G362" s="100" t="str">
        <f>IFERROR(__xludf.DUMMYFUNCTION("""COMPUTED_VALUE"""),"Thunderball")</f>
        <v>Thunderball</v>
      </c>
      <c r="H362" s="100"/>
    </row>
    <row r="363">
      <c r="A363" s="95"/>
      <c r="B363" s="96" t="str">
        <f>IFERROR(__xludf.DUMMYFUNCTION("""COMPUTED_VALUE"""),"Wight Prince")</f>
        <v>Wight Prince</v>
      </c>
      <c r="C363" s="101" t="str">
        <f>IFERROR(__xludf.DUMMYFUNCTION("""COMPUTED_VALUE"""),"Undead")</f>
        <v>Undead</v>
      </c>
      <c r="D363" s="101">
        <f>IFERROR(__xludf.DUMMYFUNCTION("""COMPUTED_VALUE"""),1338.0)</f>
        <v>1338</v>
      </c>
      <c r="E363" s="101">
        <f>IFERROR(__xludf.DUMMYFUNCTION("""COMPUTED_VALUE"""),292.0)</f>
        <v>292</v>
      </c>
      <c r="F363" s="101" t="str">
        <f>IFERROR(__xludf.DUMMYFUNCTION("""COMPUTED_VALUE"""),"Thunderball")</f>
        <v>Thunderball</v>
      </c>
      <c r="G363" s="101" t="str">
        <f>IFERROR(__xludf.DUMMYFUNCTION("""COMPUTED_VALUE"""),"Ligthning Staff")</f>
        <v>Ligthning Staff</v>
      </c>
      <c r="H363" s="101"/>
    </row>
    <row r="364">
      <c r="A364" s="92"/>
      <c r="B364" s="93" t="str">
        <f>IFERROR(__xludf.DUMMYFUNCTION("""COMPUTED_VALUE"""),"Overkilling Machine")</f>
        <v>Overkilling Machine</v>
      </c>
      <c r="C364" s="100" t="str">
        <f>IFERROR(__xludf.DUMMYFUNCTION("""COMPUTED_VALUE"""),"Machine")</f>
        <v>Machine</v>
      </c>
      <c r="D364" s="100">
        <f>IFERROR(__xludf.DUMMYFUNCTION("""COMPUTED_VALUE"""),1600.0)</f>
        <v>1600</v>
      </c>
      <c r="E364" s="100">
        <f>IFERROR(__xludf.DUMMYFUNCTION("""COMPUTED_VALUE"""),293.0)</f>
        <v>293</v>
      </c>
      <c r="F364" s="100" t="str">
        <f>IFERROR(__xludf.DUMMYFUNCTION("""COMPUTED_VALUE"""),"Densinium")</f>
        <v>Densinium</v>
      </c>
      <c r="G364" s="100" t="str">
        <f>IFERROR(__xludf.DUMMYFUNCTION("""COMPUTED_VALUE"""),"Falcon Blade")</f>
        <v>Falcon Blade</v>
      </c>
      <c r="H364" s="100"/>
    </row>
    <row r="365">
      <c r="A365" s="95"/>
      <c r="B365" s="96" t="str">
        <f>IFERROR(__xludf.DUMMYFUNCTION("""COMPUTED_VALUE"""),"Pandora's Box")</f>
        <v>Pandora's Box</v>
      </c>
      <c r="C365" s="101" t="str">
        <f>IFERROR(__xludf.DUMMYFUNCTION("""COMPUTED_VALUE"""),"Material")</f>
        <v>Material</v>
      </c>
      <c r="D365" s="101">
        <f>IFERROR(__xludf.DUMMYFUNCTION("""COMPUTED_VALUE"""),3200.0)</f>
        <v>3200</v>
      </c>
      <c r="E365" s="101">
        <f>IFERROR(__xludf.DUMMYFUNCTION("""COMPUTED_VALUE"""),640.0)</f>
        <v>640</v>
      </c>
      <c r="F365" s="101" t="str">
        <f>IFERROR(__xludf.DUMMYFUNCTION("""COMPUTED_VALUE"""),"Seed of Skill")</f>
        <v>Seed of Skill</v>
      </c>
      <c r="G365" s="101" t="str">
        <f>IFERROR(__xludf.DUMMYFUNCTION("""COMPUTED_VALUE"""),"--")</f>
        <v>--</v>
      </c>
      <c r="H365" s="101" t="str">
        <f>IFERROR(__xludf.DUMMYFUNCTION("""COMPUTED_VALUE"""),"--")</f>
        <v>--</v>
      </c>
    </row>
    <row r="366">
      <c r="A366" s="92"/>
      <c r="B366" s="93" t="str">
        <f>IFERROR(__xludf.DUMMYFUNCTION("""COMPUTED_VALUE"""),"Vicious Lump Wizard")</f>
        <v>Vicious Lump Wizard</v>
      </c>
      <c r="C366" s="100" t="str">
        <f>IFERROR(__xludf.DUMMYFUNCTION("""COMPUTED_VALUE"""),"Humanoid")</f>
        <v>Humanoid</v>
      </c>
      <c r="D366" s="100">
        <f>IFERROR(__xludf.DUMMYFUNCTION("""COMPUTED_VALUE"""),1320.0)</f>
        <v>1320</v>
      </c>
      <c r="E366" s="100">
        <f>IFERROR(__xludf.DUMMYFUNCTION("""COMPUTED_VALUE"""),324.0)</f>
        <v>324</v>
      </c>
      <c r="F366" s="100" t="str">
        <f>IFERROR(__xludf.DUMMYFUNCTION("""COMPUTED_VALUE"""),"Holy Water")</f>
        <v>Holy Water</v>
      </c>
      <c r="G366" s="100" t="str">
        <f>IFERROR(__xludf.DUMMYFUNCTION("""COMPUTED_VALUE"""),"Wizard's Staff")</f>
        <v>Wizard's Staff</v>
      </c>
      <c r="H366" s="100" t="str">
        <f>IFERROR(__xludf.DUMMYFUNCTION("""COMPUTED_VALUE"""),"Sage's Trial - Fierce Forest (Day)")</f>
        <v>Sage's Trial - Fierce Forest (Day)</v>
      </c>
    </row>
    <row r="367">
      <c r="A367" s="105"/>
      <c r="B367" s="96" t="str">
        <f>IFERROR(__xludf.DUMMYFUNCTION("""COMPUTED_VALUE"""),"Vicious Bongo Drongo")</f>
        <v>Vicious Bongo Drongo</v>
      </c>
      <c r="C367" s="101" t="str">
        <f>IFERROR(__xludf.DUMMYFUNCTION("""COMPUTED_VALUE"""),"Material")</f>
        <v>Material</v>
      </c>
      <c r="D367" s="101">
        <f>IFERROR(__xludf.DUMMYFUNCTION("""COMPUTED_VALUE"""),1576.0)</f>
        <v>1576</v>
      </c>
      <c r="E367" s="101">
        <f>IFERROR(__xludf.DUMMYFUNCTION("""COMPUTED_VALUE"""),409.0)</f>
        <v>409</v>
      </c>
      <c r="F367" s="101" t="str">
        <f>IFERROR(__xludf.DUMMYFUNCTION("""COMPUTED_VALUE"""),"Special Medicine")</f>
        <v>Special Medicine</v>
      </c>
      <c r="G367" s="101" t="str">
        <f>IFERROR(__xludf.DUMMYFUNCTION("""COMPUTED_VALUE"""),"Finessence")</f>
        <v>Finessence</v>
      </c>
      <c r="H367" s="101" t="str">
        <f>IFERROR(__xludf.DUMMYFUNCTION("""COMPUTED_VALUE"""),"Sage's Trial - Fierce Forest")</f>
        <v>Sage's Trial - Fierce Forest</v>
      </c>
    </row>
    <row r="368">
      <c r="A368" s="106" t="str">
        <f>IFERROR(__xludf.DUMMYFUNCTION("""COMPUTED_VALUE"""),"P19")</f>
        <v>P19</v>
      </c>
      <c r="B368" s="93" t="str">
        <f>IFERROR(__xludf.DUMMYFUNCTION("""COMPUTED_VALUE"""),"Lava Lampling")</f>
        <v>Lava Lampling</v>
      </c>
      <c r="C368" s="100" t="str">
        <f>IFERROR(__xludf.DUMMYFUNCTION("""COMPUTED_VALUE"""),"Material")</f>
        <v>Material</v>
      </c>
      <c r="D368" s="100">
        <f>IFERROR(__xludf.DUMMYFUNCTION("""COMPUTED_VALUE"""),951.0)</f>
        <v>951</v>
      </c>
      <c r="E368" s="100">
        <f>IFERROR(__xludf.DUMMYFUNCTION("""COMPUTED_VALUE"""),208.0)</f>
        <v>208</v>
      </c>
      <c r="F368" s="100" t="str">
        <f>IFERROR(__xludf.DUMMYFUNCTION("""COMPUTED_VALUE"""),"Lava Lump")</f>
        <v>Lava Lump</v>
      </c>
      <c r="G368" s="100" t="str">
        <f>IFERROR(__xludf.DUMMYFUNCTION("""COMPUTED_VALUE"""),"Fire Wood")</f>
        <v>Fire Wood</v>
      </c>
      <c r="H368" s="100"/>
    </row>
    <row r="369">
      <c r="A369" s="95"/>
      <c r="B369" s="96" t="str">
        <f>IFERROR(__xludf.DUMMYFUNCTION("""COMPUTED_VALUE"""),"Slick Slime")</f>
        <v>Slick Slime</v>
      </c>
      <c r="C369" s="101" t="str">
        <f>IFERROR(__xludf.DUMMYFUNCTION("""COMPUTED_VALUE"""),"Slime")</f>
        <v>Slime</v>
      </c>
      <c r="D369" s="101">
        <f>IFERROR(__xludf.DUMMYFUNCTION("""COMPUTED_VALUE"""),991.0)</f>
        <v>991</v>
      </c>
      <c r="E369" s="101">
        <f>IFERROR(__xludf.DUMMYFUNCTION("""COMPUTED_VALUE"""),216.0)</f>
        <v>216</v>
      </c>
      <c r="F369" s="101" t="str">
        <f>IFERROR(__xludf.DUMMYFUNCTION("""COMPUTED_VALUE"""),"Goobricant")</f>
        <v>Goobricant</v>
      </c>
      <c r="G369" s="101" t="str">
        <f>IFERROR(__xludf.DUMMYFUNCTION("""COMPUTED_VALUE"""),"Mythril Ore")</f>
        <v>Mythril Ore</v>
      </c>
      <c r="H369" s="101"/>
    </row>
    <row r="370">
      <c r="A370" s="92"/>
      <c r="B370" s="93" t="str">
        <f>IFERROR(__xludf.DUMMYFUNCTION("""COMPUTED_VALUE"""),"Vicious Ursa Minor")</f>
        <v>Vicious Ursa Minor</v>
      </c>
      <c r="C370" s="100" t="str">
        <f>IFERROR(__xludf.DUMMYFUNCTION("""COMPUTED_VALUE"""),"Beast")</f>
        <v>Beast</v>
      </c>
      <c r="D370" s="100">
        <f>IFERROR(__xludf.DUMMYFUNCTION("""COMPUTED_VALUE"""),3600.0)</f>
        <v>3600</v>
      </c>
      <c r="E370" s="100">
        <f>IFERROR(__xludf.DUMMYFUNCTION("""COMPUTED_VALUE"""),363.0)</f>
        <v>363</v>
      </c>
      <c r="F370" s="100" t="str">
        <f>IFERROR(__xludf.DUMMYFUNCTION("""COMPUTED_VALUE"""),"Magic Beast Hide")</f>
        <v>Magic Beast Hide</v>
      </c>
      <c r="G370" s="100" t="str">
        <f>IFERROR(__xludf.DUMMYFUNCTION("""COMPUTED_VALUE"""),"Tough Guy Tattoo")</f>
        <v>Tough Guy Tattoo</v>
      </c>
      <c r="H370" s="100" t="str">
        <f>IFERROR(__xludf.DUMMYFUNCTION("""COMPUTED_VALUE"""),"Sage's Trial - Fierce Forest (Day)")</f>
        <v>Sage's Trial - Fierce Forest (Day)</v>
      </c>
    </row>
    <row r="371">
      <c r="A371" s="95"/>
      <c r="B371" s="96" t="str">
        <f>IFERROR(__xludf.DUMMYFUNCTION("""COMPUTED_VALUE"""),"Jerkules")</f>
        <v>Jerkules</v>
      </c>
      <c r="C371" s="101" t="str">
        <f>IFERROR(__xludf.DUMMYFUNCTION("""COMPUTED_VALUE"""),"Demon")</f>
        <v>Demon</v>
      </c>
      <c r="D371" s="101">
        <f>IFERROR(__xludf.DUMMYFUNCTION("""COMPUTED_VALUE"""),3020.0)</f>
        <v>3020</v>
      </c>
      <c r="E371" s="101">
        <f>IFERROR(__xludf.DUMMYFUNCTION("""COMPUTED_VALUE"""),543.0)</f>
        <v>543</v>
      </c>
      <c r="F371" s="101" t="str">
        <f>IFERROR(__xludf.DUMMYFUNCTION("""COMPUTED_VALUE"""),"Finessence")</f>
        <v>Finessence</v>
      </c>
      <c r="G371" s="101" t="str">
        <f>IFERROR(__xludf.DUMMYFUNCTION("""COMPUTED_VALUE"""),"Great Helm")</f>
        <v>Great Helm</v>
      </c>
      <c r="H371" s="101"/>
    </row>
    <row r="372">
      <c r="A372" s="92"/>
      <c r="B372" s="102" t="str">
        <f>IFERROR(__xludf.DUMMYFUNCTION("""COMPUTED_VALUE"""),"Brodysseus (Rarefied)")</f>
        <v>Brodysseus (Rarefied)</v>
      </c>
      <c r="C372" s="93" t="str">
        <f>IFERROR(__xludf.DUMMYFUNCTION("""COMPUTED_VALUE"""),"Demon")</f>
        <v>Demon</v>
      </c>
      <c r="D372" s="93">
        <f>IFERROR(__xludf.DUMMYFUNCTION("""COMPUTED_VALUE"""),9900.0)</f>
        <v>9900</v>
      </c>
      <c r="E372" s="93">
        <f>IFERROR(__xludf.DUMMYFUNCTION("""COMPUTED_VALUE"""),2010.0)</f>
        <v>2010</v>
      </c>
      <c r="F372" s="93" t="str">
        <f>IFERROR(__xludf.DUMMYFUNCTION("""COMPUTED_VALUE"""),"Fire Ball")</f>
        <v>Fire Ball</v>
      </c>
      <c r="G372" s="93" t="str">
        <f>IFERROR(__xludf.DUMMYFUNCTION("""COMPUTED_VALUE"""),"Mighty Armlet")</f>
        <v>Mighty Armlet</v>
      </c>
      <c r="H372" s="93" t="str">
        <f>IFERROR(__xludf.DUMMYFUNCTION("""COMPUTED_VALUE"""),"Luminary's Trial (Day): 3F, rare Vicious Jerkules")</f>
        <v>Luminary's Trial (Day): 3F, rare Vicious Jerkules</v>
      </c>
    </row>
    <row r="373">
      <c r="A373" s="95"/>
      <c r="B373" s="96" t="str">
        <f>IFERROR(__xludf.DUMMYFUNCTION("""COMPUTED_VALUE"""),"Clangoustine")</f>
        <v>Clangoustine</v>
      </c>
      <c r="C373" s="101" t="str">
        <f>IFERROR(__xludf.DUMMYFUNCTION("""COMPUTED_VALUE"""),"Nature")</f>
        <v>Nature</v>
      </c>
      <c r="D373" s="101">
        <f>IFERROR(__xludf.DUMMYFUNCTION("""COMPUTED_VALUE"""),3960.0)</f>
        <v>3960</v>
      </c>
      <c r="E373" s="101">
        <f>IFERROR(__xludf.DUMMYFUNCTION("""COMPUTED_VALUE"""),320.0)</f>
        <v>320</v>
      </c>
      <c r="F373" s="101" t="str">
        <f>IFERROR(__xludf.DUMMYFUNCTION("""COMPUTED_VALUE"""),"Densinium")</f>
        <v>Densinium</v>
      </c>
      <c r="G373" s="101" t="str">
        <f>IFERROR(__xludf.DUMMYFUNCTION("""COMPUTED_VALUE"""),"Molten Globules")</f>
        <v>Molten Globules</v>
      </c>
      <c r="H373" s="101"/>
    </row>
    <row r="374">
      <c r="A374" s="92"/>
      <c r="B374" s="93" t="str">
        <f>IFERROR(__xludf.DUMMYFUNCTION("""COMPUTED_VALUE"""),"Visor Kaiser")</f>
        <v>Visor Kaiser</v>
      </c>
      <c r="C374" s="100" t="str">
        <f>IFERROR(__xludf.DUMMYFUNCTION("""COMPUTED_VALUE"""),"Machine")</f>
        <v>Machine</v>
      </c>
      <c r="D374" s="100">
        <f>IFERROR(__xludf.DUMMYFUNCTION("""COMPUTED_VALUE"""),1610.0)</f>
        <v>1610</v>
      </c>
      <c r="E374" s="100">
        <f>IFERROR(__xludf.DUMMYFUNCTION("""COMPUTED_VALUE"""),307.0)</f>
        <v>307</v>
      </c>
      <c r="F374" s="100" t="str">
        <f>IFERROR(__xludf.DUMMYFUNCTION("""COMPUTED_VALUE"""),"Densinium")</f>
        <v>Densinium</v>
      </c>
      <c r="G374" s="100" t="str">
        <f>IFERROR(__xludf.DUMMYFUNCTION("""COMPUTED_VALUE"""),"Equable Emerald")</f>
        <v>Equable Emerald</v>
      </c>
      <c r="H374" s="100"/>
    </row>
    <row r="375">
      <c r="A375" s="95"/>
      <c r="B375" s="96" t="str">
        <f>IFERROR(__xludf.DUMMYFUNCTION("""COMPUTED_VALUE"""),"Tatsunaga")</f>
        <v>Tatsunaga</v>
      </c>
      <c r="C375" s="101" t="str">
        <f>IFERROR(__xludf.DUMMYFUNCTION("""COMPUTED_VALUE"""),"Dragon")</f>
        <v>Dragon</v>
      </c>
      <c r="D375" s="101">
        <f>IFERROR(__xludf.DUMMYFUNCTION("""COMPUTED_VALUE"""),8400.0)</f>
        <v>8400</v>
      </c>
      <c r="E375" s="101">
        <f>IFERROR(__xludf.DUMMYFUNCTION("""COMPUTED_VALUE"""),0.0)</f>
        <v>0</v>
      </c>
      <c r="F375" s="101" t="str">
        <f>IFERROR(__xludf.DUMMYFUNCTION("""COMPUTED_VALUE"""),"--")</f>
        <v>--</v>
      </c>
      <c r="G375" s="101" t="str">
        <f>IFERROR(__xludf.DUMMYFUNCTION("""COMPUTED_VALUE"""),"--")</f>
        <v>--</v>
      </c>
      <c r="H375" s="101" t="str">
        <f>IFERROR(__xludf.DUMMYFUNCTION("""COMPUTED_VALUE"""),"--")</f>
        <v>--</v>
      </c>
    </row>
    <row r="376">
      <c r="A376" s="92"/>
      <c r="B376" s="93" t="str">
        <f>IFERROR(__xludf.DUMMYFUNCTION("""COMPUTED_VALUE"""),"Indignus")</f>
        <v>Indignus</v>
      </c>
      <c r="C376" s="100" t="str">
        <f>IFERROR(__xludf.DUMMYFUNCTION("""COMPUTED_VALUE"""),"Dragon")</f>
        <v>Dragon</v>
      </c>
      <c r="D376" s="100">
        <f>IFERROR(__xludf.DUMMYFUNCTION("""COMPUTED_VALUE"""),32000.0)</f>
        <v>32000</v>
      </c>
      <c r="E376" s="100">
        <f>IFERROR(__xludf.DUMMYFUNCTION("""COMPUTED_VALUE"""),15000.0)</f>
        <v>15000</v>
      </c>
      <c r="F376" s="100" t="str">
        <f>IFERROR(__xludf.DUMMYFUNCTION("""COMPUTED_VALUE"""),"--")</f>
        <v>--</v>
      </c>
      <c r="G376" s="100" t="str">
        <f>IFERROR(__xludf.DUMMYFUNCTION("""COMPUTED_VALUE"""),"--")</f>
        <v>--</v>
      </c>
      <c r="H376" s="100" t="str">
        <f>IFERROR(__xludf.DUMMYFUNCTION("""COMPUTED_VALUE"""),"--")</f>
        <v>--</v>
      </c>
    </row>
    <row r="377">
      <c r="A377" s="95"/>
      <c r="B377" s="96" t="str">
        <f>IFERROR(__xludf.DUMMYFUNCTION("""COMPUTED_VALUE"""),"Dark Dullahan")</f>
        <v>Dark Dullahan</v>
      </c>
      <c r="C377" s="101" t="str">
        <f>IFERROR(__xludf.DUMMYFUNCTION("""COMPUTED_VALUE"""),"Undead")</f>
        <v>Undead</v>
      </c>
      <c r="D377" s="101">
        <f>IFERROR(__xludf.DUMMYFUNCTION("""COMPUTED_VALUE"""),1359.0)</f>
        <v>1359</v>
      </c>
      <c r="E377" s="101">
        <f>IFERROR(__xludf.DUMMYFUNCTION("""COMPUTED_VALUE"""),280.0)</f>
        <v>280</v>
      </c>
      <c r="F377" s="101" t="str">
        <f>IFERROR(__xludf.DUMMYFUNCTION("""COMPUTED_VALUE"""),"Zombie Mail")</f>
        <v>Zombie Mail</v>
      </c>
      <c r="G377" s="101" t="str">
        <f>IFERROR(__xludf.DUMMYFUNCTION("""COMPUTED_VALUE"""),"Saintess Shield")</f>
        <v>Saintess Shield</v>
      </c>
      <c r="H377" s="101"/>
    </row>
    <row r="378">
      <c r="A378" s="92"/>
      <c r="B378" s="93" t="str">
        <f>IFERROR(__xludf.DUMMYFUNCTION("""COMPUTED_VALUE"""),"Metal Dragon")</f>
        <v>Metal Dragon</v>
      </c>
      <c r="C378" s="100" t="str">
        <f>IFERROR(__xludf.DUMMYFUNCTION("""COMPUTED_VALUE"""),"Machine")</f>
        <v>Machine</v>
      </c>
      <c r="D378" s="100">
        <f>IFERROR(__xludf.DUMMYFUNCTION("""COMPUTED_VALUE"""),1460.0)</f>
        <v>1460</v>
      </c>
      <c r="E378" s="100">
        <f>IFERROR(__xludf.DUMMYFUNCTION("""COMPUTED_VALUE"""),354.0)</f>
        <v>354</v>
      </c>
      <c r="F378" s="100" t="str">
        <f>IFERROR(__xludf.DUMMYFUNCTION("""COMPUTED_VALUE"""),"Molten Globules")</f>
        <v>Molten Globules</v>
      </c>
      <c r="G378" s="100" t="str">
        <f>IFERROR(__xludf.DUMMYFUNCTION("""COMPUTED_VALUE"""),"Liquid Metal Armour")</f>
        <v>Liquid Metal Armour</v>
      </c>
      <c r="H378" s="100"/>
    </row>
    <row r="379">
      <c r="A379" s="95"/>
      <c r="B379" s="103" t="str">
        <f>IFERROR(__xludf.DUMMYFUNCTION("""COMPUTED_VALUE"""),"Clockwyrm (Rarefied)")</f>
        <v>Clockwyrm (Rarefied)</v>
      </c>
      <c r="C379" s="96" t="str">
        <f>IFERROR(__xludf.DUMMYFUNCTION("""COMPUTED_VALUE"""),"Machine")</f>
        <v>Machine</v>
      </c>
      <c r="D379" s="96">
        <f>IFERROR(__xludf.DUMMYFUNCTION("""COMPUTED_VALUE"""),7159.0)</f>
        <v>7159</v>
      </c>
      <c r="E379" s="96">
        <f>IFERROR(__xludf.DUMMYFUNCTION("""COMPUTED_VALUE"""),1692.0)</f>
        <v>1692</v>
      </c>
      <c r="F379" s="96" t="str">
        <f>IFERROR(__xludf.DUMMYFUNCTION("""COMPUTED_VALUE"""),"Molten Globules")</f>
        <v>Molten Globules</v>
      </c>
      <c r="G379" s="96" t="str">
        <f>IFERROR(__xludf.DUMMYFUNCTION("""COMPUTED_VALUE"""),"Sovereign Seal")</f>
        <v>Sovereign Seal</v>
      </c>
      <c r="H379" s="96" t="str">
        <f>IFERROR(__xludf.DUMMYFUNCTION("""COMPUTED_VALUE"""),"Sage's Trial - Hoarder's Keep: 1F central room, rare Vicious Metal Dragon")</f>
        <v>Sage's Trial - Hoarder's Keep: 1F central room, rare Vicious Metal Dragon</v>
      </c>
    </row>
    <row r="380">
      <c r="A380" s="92"/>
      <c r="B380" s="93" t="str">
        <f>IFERROR(__xludf.DUMMYFUNCTION("""COMPUTED_VALUE"""),"Golden Girl")</f>
        <v>Golden Girl</v>
      </c>
      <c r="C380" s="100" t="str">
        <f>IFERROR(__xludf.DUMMYFUNCTION("""COMPUTED_VALUE"""),"Material")</f>
        <v>Material</v>
      </c>
      <c r="D380" s="100">
        <f>IFERROR(__xludf.DUMMYFUNCTION("""COMPUTED_VALUE"""),1460.0)</f>
        <v>1460</v>
      </c>
      <c r="E380" s="100">
        <f>IFERROR(__xludf.DUMMYFUNCTION("""COMPUTED_VALUE"""),321.0)</f>
        <v>321</v>
      </c>
      <c r="F380" s="100" t="str">
        <f>IFERROR(__xludf.DUMMYFUNCTION("""COMPUTED_VALUE"""),"Technicolour Dreamcloth")</f>
        <v>Technicolour Dreamcloth</v>
      </c>
      <c r="G380" s="100" t="str">
        <f>IFERROR(__xludf.DUMMYFUNCTION("""COMPUTED_VALUE"""),"Agate of Evolution")</f>
        <v>Agate of Evolution</v>
      </c>
      <c r="H380" s="100"/>
    </row>
    <row r="381">
      <c r="A381" s="95"/>
      <c r="B381" s="96" t="str">
        <f>IFERROR(__xludf.DUMMYFUNCTION("""COMPUTED_VALUE"""),"Leger-De-Man")</f>
        <v>Leger-De-Man</v>
      </c>
      <c r="C381" s="101" t="str">
        <f>IFERROR(__xludf.DUMMYFUNCTION("""COMPUTED_VALUE"""),"Humanoid")</f>
        <v>Humanoid</v>
      </c>
      <c r="D381" s="101">
        <f>IFERROR(__xludf.DUMMYFUNCTION("""COMPUTED_VALUE"""),1280.0)</f>
        <v>1280</v>
      </c>
      <c r="E381" s="101">
        <f>IFERROR(__xludf.DUMMYFUNCTION("""COMPUTED_VALUE"""),293.0)</f>
        <v>293</v>
      </c>
      <c r="F381" s="101" t="str">
        <f>IFERROR(__xludf.DUMMYFUNCTION("""COMPUTED_VALUE"""),"Magic Vestment")</f>
        <v>Magic Vestment</v>
      </c>
      <c r="G381" s="101" t="str">
        <f>IFERROR(__xludf.DUMMYFUNCTION("""COMPUTED_VALUE"""),"Yggdrasil Leaf")</f>
        <v>Yggdrasil Leaf</v>
      </c>
      <c r="H381" s="101"/>
    </row>
    <row r="382">
      <c r="A382" s="92"/>
      <c r="B382" s="93" t="str">
        <f>IFERROR(__xludf.DUMMYFUNCTION("""COMPUTED_VALUE"""),"King Cureslime")</f>
        <v>King Cureslime</v>
      </c>
      <c r="C382" s="100" t="str">
        <f>IFERROR(__xludf.DUMMYFUNCTION("""COMPUTED_VALUE"""),"Slime")</f>
        <v>Slime</v>
      </c>
      <c r="D382" s="100">
        <f>IFERROR(__xludf.DUMMYFUNCTION("""COMPUTED_VALUE"""),1920.0)</f>
        <v>1920</v>
      </c>
      <c r="E382" s="100">
        <f>IFERROR(__xludf.DUMMYFUNCTION("""COMPUTED_VALUE"""),480.0)</f>
        <v>480</v>
      </c>
      <c r="F382" s="100" t="str">
        <f>IFERROR(__xludf.DUMMYFUNCTION("""COMPUTED_VALUE"""),"Goobricant")</f>
        <v>Goobricant</v>
      </c>
      <c r="G382" s="100" t="str">
        <f>IFERROR(__xludf.DUMMYFUNCTION("""COMPUTED_VALUE"""),"Slime Crown")</f>
        <v>Slime Crown</v>
      </c>
      <c r="H382" s="100" t="str">
        <f>IFERROR(__xludf.DUMMYFUNCTION("""COMPUTED_VALUE"""),"Insula Orientalis")</f>
        <v>Insula Orientalis</v>
      </c>
    </row>
    <row r="383">
      <c r="A383" s="95"/>
      <c r="B383" s="96" t="str">
        <f>IFERROR(__xludf.DUMMYFUNCTION("""COMPUTED_VALUE"""),"Manticore")</f>
        <v>Manticore</v>
      </c>
      <c r="C383" s="101" t="str">
        <f>IFERROR(__xludf.DUMMYFUNCTION("""COMPUTED_VALUE"""),"Beast")</f>
        <v>Beast</v>
      </c>
      <c r="D383" s="101">
        <f>IFERROR(__xludf.DUMMYFUNCTION("""COMPUTED_VALUE"""),2110.0)</f>
        <v>2110</v>
      </c>
      <c r="E383" s="101">
        <f>IFERROR(__xludf.DUMMYFUNCTION("""COMPUTED_VALUE"""),429.0)</f>
        <v>429</v>
      </c>
      <c r="F383" s="101" t="str">
        <f>IFERROR(__xludf.DUMMYFUNCTION("""COMPUTED_VALUE"""),"Ethereal Stone")</f>
        <v>Ethereal Stone</v>
      </c>
      <c r="G383" s="101" t="str">
        <f>IFERROR(__xludf.DUMMYFUNCTION("""COMPUTED_VALUE"""),"Skull Ring")</f>
        <v>Skull Ring</v>
      </c>
      <c r="H383" s="101"/>
    </row>
    <row r="384">
      <c r="A384" s="92"/>
      <c r="B384" s="93" t="str">
        <f>IFERROR(__xludf.DUMMYFUNCTION("""COMPUTED_VALUE"""),"Hooper Trooper")</f>
        <v>Hooper Trooper</v>
      </c>
      <c r="C384" s="100" t="str">
        <f>IFERROR(__xludf.DUMMYFUNCTION("""COMPUTED_VALUE"""),"Demon")</f>
        <v>Demon</v>
      </c>
      <c r="D384" s="100">
        <f>IFERROR(__xludf.DUMMYFUNCTION("""COMPUTED_VALUE"""),1489.0)</f>
        <v>1489</v>
      </c>
      <c r="E384" s="100">
        <f>IFERROR(__xludf.DUMMYFUNCTION("""COMPUTED_VALUE"""),444.0)</f>
        <v>444</v>
      </c>
      <c r="F384" s="100" t="str">
        <f>IFERROR(__xludf.DUMMYFUNCTION("""COMPUTED_VALUE"""),"Devil's Tail")</f>
        <v>Devil's Tail</v>
      </c>
      <c r="G384" s="100" t="str">
        <f>IFERROR(__xludf.DUMMYFUNCTION("""COMPUTED_VALUE"""),"King Cobra Claws")</f>
        <v>King Cobra Claws</v>
      </c>
      <c r="H384" s="100"/>
    </row>
    <row r="385">
      <c r="A385" s="95"/>
      <c r="B385" s="96" t="str">
        <f>IFERROR(__xludf.DUMMYFUNCTION("""COMPUTED_VALUE"""),"Hard-Boiled Eggsoskeleton")</f>
        <v>Hard-Boiled Eggsoskeleton</v>
      </c>
      <c r="C385" s="101" t="str">
        <f>IFERROR(__xludf.DUMMYFUNCTION("""COMPUTED_VALUE"""),"Machine")</f>
        <v>Machine</v>
      </c>
      <c r="D385" s="101">
        <f>IFERROR(__xludf.DUMMYFUNCTION("""COMPUTED_VALUE"""),1080.0)</f>
        <v>1080</v>
      </c>
      <c r="E385" s="101">
        <f>IFERROR(__xludf.DUMMYFUNCTION("""COMPUTED_VALUE"""),250.0)</f>
        <v>250</v>
      </c>
      <c r="F385" s="101" t="str">
        <f>IFERROR(__xludf.DUMMYFUNCTION("""COMPUTED_VALUE"""),"Mythril Ore")</f>
        <v>Mythril Ore</v>
      </c>
      <c r="G385" s="101" t="str">
        <f>IFERROR(__xludf.DUMMYFUNCTION("""COMPUTED_VALUE"""),"Artful Amethyst")</f>
        <v>Artful Amethyst</v>
      </c>
      <c r="H385" s="101"/>
    </row>
    <row r="386">
      <c r="A386" s="92"/>
      <c r="B386" s="93" t="str">
        <f>IFERROR(__xludf.DUMMYFUNCTION("""COMPUTED_VALUE"""),"Dead Dragooner")</f>
        <v>Dead Dragooner</v>
      </c>
      <c r="C386" s="100" t="str">
        <f>IFERROR(__xludf.DUMMYFUNCTION("""COMPUTED_VALUE"""),"Dragon")</f>
        <v>Dragon</v>
      </c>
      <c r="D386" s="100">
        <f>IFERROR(__xludf.DUMMYFUNCTION("""COMPUTED_VALUE"""),1400.0)</f>
        <v>1400</v>
      </c>
      <c r="E386" s="100">
        <f>IFERROR(__xludf.DUMMYFUNCTION("""COMPUTED_VALUE"""),321.0)</f>
        <v>321</v>
      </c>
      <c r="F386" s="100" t="str">
        <f>IFERROR(__xludf.DUMMYFUNCTION("""COMPUTED_VALUE"""),"Dragon Horn")</f>
        <v>Dragon Horn</v>
      </c>
      <c r="G386" s="100" t="str">
        <f>IFERROR(__xludf.DUMMYFUNCTION("""COMPUTED_VALUE"""),"Dragon Bandana")</f>
        <v>Dragon Bandana</v>
      </c>
      <c r="H386" s="100"/>
    </row>
    <row r="387">
      <c r="A387" s="105"/>
      <c r="B387" s="96" t="str">
        <f>IFERROR(__xludf.DUMMYFUNCTION("""COMPUTED_VALUE"""),"Shadeshifter")</f>
        <v>Shadeshifter</v>
      </c>
      <c r="C387" s="101" t="str">
        <f>IFERROR(__xludf.DUMMYFUNCTION("""COMPUTED_VALUE"""),"Elemental")</f>
        <v>Elemental</v>
      </c>
      <c r="D387" s="101">
        <f>IFERROR(__xludf.DUMMYFUNCTION("""COMPUTED_VALUE"""),1880.0)</f>
        <v>1880</v>
      </c>
      <c r="E387" s="101">
        <f>IFERROR(__xludf.DUMMYFUNCTION("""COMPUTED_VALUE"""),300.0)</f>
        <v>300</v>
      </c>
      <c r="F387" s="101" t="str">
        <f>IFERROR(__xludf.DUMMYFUNCTION("""COMPUTED_VALUE"""),"Artful Amethyst")</f>
        <v>Artful Amethyst</v>
      </c>
      <c r="G387" s="101" t="str">
        <f>IFERROR(__xludf.DUMMYFUNCTION("""COMPUTED_VALUE"""),"Seed of Deftness")</f>
        <v>Seed of Deftness</v>
      </c>
      <c r="H387" s="101"/>
    </row>
    <row r="388">
      <c r="A388" s="106" t="str">
        <f>IFERROR(__xludf.DUMMYFUNCTION("""COMPUTED_VALUE"""),"P20")</f>
        <v>P20</v>
      </c>
      <c r="B388" s="93" t="str">
        <f>IFERROR(__xludf.DUMMYFUNCTION("""COMPUTED_VALUE"""),"Great Keeper")</f>
        <v>Great Keeper</v>
      </c>
      <c r="C388" s="100" t="str">
        <f>IFERROR(__xludf.DUMMYFUNCTION("""COMPUTED_VALUE"""),"Material")</f>
        <v>Material</v>
      </c>
      <c r="D388" s="100">
        <f>IFERROR(__xludf.DUMMYFUNCTION("""COMPUTED_VALUE"""),1575.0)</f>
        <v>1575</v>
      </c>
      <c r="E388" s="100">
        <f>IFERROR(__xludf.DUMMYFUNCTION("""COMPUTED_VALUE"""),375.0)</f>
        <v>375</v>
      </c>
      <c r="F388" s="100" t="str">
        <f>IFERROR(__xludf.DUMMYFUNCTION("""COMPUTED_VALUE"""),"Sainted Soma")</f>
        <v>Sainted Soma</v>
      </c>
      <c r="G388" s="100" t="str">
        <f>IFERROR(__xludf.DUMMYFUNCTION("""COMPUTED_VALUE"""),"Seed of Skill")</f>
        <v>Seed of Skill</v>
      </c>
      <c r="H388" s="100"/>
    </row>
    <row r="389">
      <c r="A389" s="95"/>
      <c r="B389" s="96" t="str">
        <f>IFERROR(__xludf.DUMMYFUNCTION("""COMPUTED_VALUE"""),"Hellrider")</f>
        <v>Hellrider</v>
      </c>
      <c r="C389" s="101" t="str">
        <f>IFERROR(__xludf.DUMMYFUNCTION("""COMPUTED_VALUE"""),"Undead")</f>
        <v>Undead</v>
      </c>
      <c r="D389" s="101">
        <f>IFERROR(__xludf.DUMMYFUNCTION("""COMPUTED_VALUE"""),1183.0)</f>
        <v>1183</v>
      </c>
      <c r="E389" s="101">
        <f>IFERROR(__xludf.DUMMYFUNCTION("""COMPUTED_VALUE"""),311.0)</f>
        <v>311</v>
      </c>
      <c r="F389" s="101" t="str">
        <f>IFERROR(__xludf.DUMMYFUNCTION("""COMPUTED_VALUE"""),"Big Bone")</f>
        <v>Big Bone</v>
      </c>
      <c r="G389" s="101" t="str">
        <f>IFERROR(__xludf.DUMMYFUNCTION("""COMPUTED_VALUE"""),"Mercury's Bandana")</f>
        <v>Mercury's Bandana</v>
      </c>
      <c r="H389" s="101"/>
    </row>
    <row r="390">
      <c r="A390" s="92"/>
      <c r="B390" s="93" t="str">
        <f>IFERROR(__xludf.DUMMYFUNCTION("""COMPUTED_VALUE"""),"Headless Hunter")</f>
        <v>Headless Hunter</v>
      </c>
      <c r="C390" s="100" t="str">
        <f>IFERROR(__xludf.DUMMYFUNCTION("""COMPUTED_VALUE"""),"Undead")</f>
        <v>Undead</v>
      </c>
      <c r="D390" s="100">
        <f>IFERROR(__xludf.DUMMYFUNCTION("""COMPUTED_VALUE"""),1400.0)</f>
        <v>1400</v>
      </c>
      <c r="E390" s="100">
        <f>IFERROR(__xludf.DUMMYFUNCTION("""COMPUTED_VALUE"""),325.0)</f>
        <v>325</v>
      </c>
      <c r="F390" s="100" t="str">
        <f>IFERROR(__xludf.DUMMYFUNCTION("""COMPUTED_VALUE"""),"Ethereal Stone")</f>
        <v>Ethereal Stone</v>
      </c>
      <c r="G390" s="100" t="str">
        <f>IFERROR(__xludf.DUMMYFUNCTION("""COMPUTED_VALUE"""),"Saintess Shield")</f>
        <v>Saintess Shield</v>
      </c>
      <c r="H390" s="100"/>
    </row>
    <row r="391">
      <c r="A391" s="95"/>
      <c r="B391" s="96" t="str">
        <f>IFERROR(__xludf.DUMMYFUNCTION("""COMPUTED_VALUE"""),"Great Dragon")</f>
        <v>Great Dragon</v>
      </c>
      <c r="C391" s="101" t="str">
        <f>IFERROR(__xludf.DUMMYFUNCTION("""COMPUTED_VALUE"""),"Dragon")</f>
        <v>Dragon</v>
      </c>
      <c r="D391" s="101">
        <f>IFERROR(__xludf.DUMMYFUNCTION("""COMPUTED_VALUE"""),2707.0)</f>
        <v>2707</v>
      </c>
      <c r="E391" s="101">
        <f>IFERROR(__xludf.DUMMYFUNCTION("""COMPUTED_VALUE"""),436.0)</f>
        <v>436</v>
      </c>
      <c r="F391" s="101" t="str">
        <f>IFERROR(__xludf.DUMMYFUNCTION("""COMPUTED_VALUE"""),"Dragon Hide")</f>
        <v>Dragon Hide</v>
      </c>
      <c r="G391" s="101" t="str">
        <f>IFERROR(__xludf.DUMMYFUNCTION("""COMPUTED_VALUE"""),"Staff of Resurrection")</f>
        <v>Staff of Resurrection</v>
      </c>
      <c r="H391" s="101"/>
    </row>
    <row r="392">
      <c r="A392" s="92"/>
      <c r="B392" s="93" t="str">
        <f>IFERROR(__xludf.DUMMYFUNCTION("""COMPUTED_VALUE"""),"Loss Leader")</f>
        <v>Loss Leader</v>
      </c>
      <c r="C392" s="100" t="str">
        <f>IFERROR(__xludf.DUMMYFUNCTION("""COMPUTED_VALUE"""),"Demon")</f>
        <v>Demon</v>
      </c>
      <c r="D392" s="100">
        <f>IFERROR(__xludf.DUMMYFUNCTION("""COMPUTED_VALUE"""),2614.0)</f>
        <v>2614</v>
      </c>
      <c r="E392" s="100">
        <f>IFERROR(__xludf.DUMMYFUNCTION("""COMPUTED_VALUE"""),473.0)</f>
        <v>473</v>
      </c>
      <c r="F392" s="100" t="str">
        <f>IFERROR(__xludf.DUMMYFUNCTION("""COMPUTED_VALUE"""),"Ethereal Stone")</f>
        <v>Ethereal Stone</v>
      </c>
      <c r="G392" s="100" t="str">
        <f>IFERROR(__xludf.DUMMYFUNCTION("""COMPUTED_VALUE"""),"Liquid Metal Helm")</f>
        <v>Liquid Metal Helm</v>
      </c>
      <c r="H392" s="100"/>
    </row>
    <row r="393">
      <c r="A393" s="95"/>
      <c r="B393" s="96" t="str">
        <f>IFERROR(__xludf.DUMMYFUNCTION("""COMPUTED_VALUE"""),"Token Taker")</f>
        <v>Token Taker</v>
      </c>
      <c r="C393" s="101" t="str">
        <f>IFERROR(__xludf.DUMMYFUNCTION("""COMPUTED_VALUE"""),"Machine")</f>
        <v>Machine</v>
      </c>
      <c r="D393" s="101">
        <f>IFERROR(__xludf.DUMMYFUNCTION("""COMPUTED_VALUE"""),1333.0)</f>
        <v>1333</v>
      </c>
      <c r="E393" s="101">
        <f>IFERROR(__xludf.DUMMYFUNCTION("""COMPUTED_VALUE"""),555.0)</f>
        <v>555</v>
      </c>
      <c r="F393" s="101" t="str">
        <f>IFERROR(__xludf.DUMMYFUNCTION("""COMPUTED_VALUE"""),"Drasilian Sovereign")</f>
        <v>Drasilian Sovereign</v>
      </c>
      <c r="G393" s="101" t="str">
        <f>IFERROR(__xludf.DUMMYFUNCTION("""COMPUTED_VALUE"""),"Gold Bar")</f>
        <v>Gold Bar</v>
      </c>
      <c r="H393" s="101" t="str">
        <f>IFERROR(__xludf.DUMMYFUNCTION("""COMPUTED_VALUE"""),"Gallopolis - Whale Way Station")</f>
        <v>Gallopolis - Whale Way Station</v>
      </c>
    </row>
    <row r="394">
      <c r="A394" s="92"/>
      <c r="B394" s="93" t="str">
        <f>IFERROR(__xludf.DUMMYFUNCTION("""COMPUTED_VALUE"""),"Metal King Slime")</f>
        <v>Metal King Slime</v>
      </c>
      <c r="C394" s="100" t="str">
        <f>IFERROR(__xludf.DUMMYFUNCTION("""COMPUTED_VALUE"""),"Slime")</f>
        <v>Slime</v>
      </c>
      <c r="D394" s="100">
        <f>IFERROR(__xludf.DUMMYFUNCTION("""COMPUTED_VALUE"""),70070.0)</f>
        <v>70070</v>
      </c>
      <c r="E394" s="100">
        <f>IFERROR(__xludf.DUMMYFUNCTION("""COMPUTED_VALUE"""),600.0)</f>
        <v>600</v>
      </c>
      <c r="F394" s="100" t="str">
        <f>IFERROR(__xludf.DUMMYFUNCTION("""COMPUTED_VALUE"""),"Molten Globules")</f>
        <v>Molten Globules</v>
      </c>
      <c r="G394" s="100" t="str">
        <f>IFERROR(__xludf.DUMMYFUNCTION("""COMPUTED_VALUE"""),"Slime Crown")</f>
        <v>Slime Crown</v>
      </c>
      <c r="H394" s="100" t="str">
        <f>IFERROR(__xludf.DUMMYFUNCTION("""COMPUTED_VALUE"""),"The Battleground")</f>
        <v>The Battleground</v>
      </c>
    </row>
    <row r="395">
      <c r="A395" s="95"/>
      <c r="B395" s="96" t="str">
        <f>IFERROR(__xludf.DUMMYFUNCTION("""COMPUTED_VALUE"""),"Unbound")</f>
        <v>Unbound</v>
      </c>
      <c r="C395" s="101" t="str">
        <f>IFERROR(__xludf.DUMMYFUNCTION("""COMPUTED_VALUE"""),"???")</f>
        <v>???</v>
      </c>
      <c r="D395" s="101">
        <f>IFERROR(__xludf.DUMMYFUNCTION("""COMPUTED_VALUE"""),40000.0)</f>
        <v>40000</v>
      </c>
      <c r="E395" s="101">
        <f>IFERROR(__xludf.DUMMYFUNCTION("""COMPUTED_VALUE"""),20000.0)</f>
        <v>20000</v>
      </c>
      <c r="F395" s="101" t="str">
        <f>IFERROR(__xludf.DUMMYFUNCTION("""COMPUTED_VALUE"""),"--")</f>
        <v>--</v>
      </c>
      <c r="G395" s="101" t="str">
        <f>IFERROR(__xludf.DUMMYFUNCTION("""COMPUTED_VALUE"""),"--")</f>
        <v>--</v>
      </c>
      <c r="H395" s="101" t="str">
        <f>IFERROR(__xludf.DUMMYFUNCTION("""COMPUTED_VALUE"""),"--")</f>
        <v>--</v>
      </c>
    </row>
    <row r="396">
      <c r="A396" s="92"/>
      <c r="B396" s="93" t="str">
        <f>IFERROR(__xludf.DUMMYFUNCTION("""COMPUTED_VALUE"""),"Final Boss")</f>
        <v>Final Boss</v>
      </c>
      <c r="C396" s="100" t="str">
        <f>IFERROR(__xludf.DUMMYFUNCTION("""COMPUTED_VALUE"""),"???")</f>
        <v>???</v>
      </c>
      <c r="D396" s="100">
        <f>IFERROR(__xludf.DUMMYFUNCTION("""COMPUTED_VALUE"""),0.0)</f>
        <v>0</v>
      </c>
      <c r="E396" s="100">
        <f>IFERROR(__xludf.DUMMYFUNCTION("""COMPUTED_VALUE"""),0.0)</f>
        <v>0</v>
      </c>
      <c r="F396" s="100" t="str">
        <f>IFERROR(__xludf.DUMMYFUNCTION("""COMPUTED_VALUE"""),"--")</f>
        <v>--</v>
      </c>
      <c r="G396" s="100" t="str">
        <f>IFERROR(__xludf.DUMMYFUNCTION("""COMPUTED_VALUE"""),"--")</f>
        <v>--</v>
      </c>
      <c r="H396" s="100" t="str">
        <f>IFERROR(__xludf.DUMMYFUNCTION("""COMPUTED_VALUE"""),"--")</f>
        <v>--</v>
      </c>
    </row>
    <row r="397">
      <c r="A397" s="95"/>
      <c r="B397" s="96" t="str">
        <f>IFERROR(__xludf.DUMMYFUNCTION("""COMPUTED_VALUE"""),"Final Boss")</f>
        <v>Final Boss</v>
      </c>
      <c r="C397" s="101" t="str">
        <f>IFERROR(__xludf.DUMMYFUNCTION("""COMPUTED_VALUE"""),"???")</f>
        <v>???</v>
      </c>
      <c r="D397" s="101">
        <f>IFERROR(__xludf.DUMMYFUNCTION("""COMPUTED_VALUE"""),0.0)</f>
        <v>0</v>
      </c>
      <c r="E397" s="101">
        <f>IFERROR(__xludf.DUMMYFUNCTION("""COMPUTED_VALUE"""),0.0)</f>
        <v>0</v>
      </c>
      <c r="F397" s="101" t="str">
        <f>IFERROR(__xludf.DUMMYFUNCTION("""COMPUTED_VALUE"""),"--")</f>
        <v>--</v>
      </c>
      <c r="G397" s="101" t="str">
        <f>IFERROR(__xludf.DUMMYFUNCTION("""COMPUTED_VALUE"""),"--")</f>
        <v>--</v>
      </c>
      <c r="H397" s="101" t="str">
        <f>IFERROR(__xludf.DUMMYFUNCTION("""COMPUTED_VALUE"""),"--")</f>
        <v>--</v>
      </c>
    </row>
    <row r="398">
      <c r="A398" s="92"/>
      <c r="B398" s="93" t="str">
        <f>IFERROR(__xludf.DUMMYFUNCTION("""COMPUTED_VALUE"""),"Final Boss")</f>
        <v>Final Boss</v>
      </c>
      <c r="C398" s="100" t="str">
        <f>IFERROR(__xludf.DUMMYFUNCTION("""COMPUTED_VALUE"""),"???")</f>
        <v>???</v>
      </c>
      <c r="D398" s="100">
        <f>IFERROR(__xludf.DUMMYFUNCTION("""COMPUTED_VALUE"""),0.0)</f>
        <v>0</v>
      </c>
      <c r="E398" s="100">
        <f>IFERROR(__xludf.DUMMYFUNCTION("""COMPUTED_VALUE"""),0.0)</f>
        <v>0</v>
      </c>
      <c r="F398" s="100" t="str">
        <f>IFERROR(__xludf.DUMMYFUNCTION("""COMPUTED_VALUE"""),"--")</f>
        <v>--</v>
      </c>
      <c r="G398" s="100" t="str">
        <f>IFERROR(__xludf.DUMMYFUNCTION("""COMPUTED_VALUE"""),"--")</f>
        <v>--</v>
      </c>
      <c r="H398" s="100" t="str">
        <f>IFERROR(__xludf.DUMMYFUNCTION("""COMPUTED_VALUE"""),"--")</f>
        <v>--</v>
      </c>
    </row>
    <row r="399">
      <c r="A399" s="95"/>
      <c r="B399" s="104" t="str">
        <f>IFERROR(__xludf.DUMMYFUNCTION("""COMPUTED_VALUE"""),"Postgame")</f>
        <v>Postgame</v>
      </c>
      <c r="C399" s="24"/>
      <c r="D399" s="24"/>
      <c r="E399" s="24"/>
      <c r="F399" s="24"/>
      <c r="G399" s="24"/>
      <c r="H399" s="25"/>
    </row>
    <row r="400">
      <c r="A400" s="92"/>
      <c r="B400" s="93" t="str">
        <f>IFERROR(__xludf.DUMMYFUNCTION("""COMPUTED_VALUE"""),"Postgame Boss")</f>
        <v>Postgame Boss</v>
      </c>
      <c r="C400" s="100" t="str">
        <f>IFERROR(__xludf.DUMMYFUNCTION("""COMPUTED_VALUE"""),"???")</f>
        <v>???</v>
      </c>
      <c r="D400" s="100">
        <f>IFERROR(__xludf.DUMMYFUNCTION("""COMPUTED_VALUE"""),8000.0)</f>
        <v>8000</v>
      </c>
      <c r="E400" s="100">
        <f>IFERROR(__xludf.DUMMYFUNCTION("""COMPUTED_VALUE"""),4000.0)</f>
        <v>4000</v>
      </c>
      <c r="F400" s="100" t="str">
        <f>IFERROR(__xludf.DUMMYFUNCTION("""COMPUTED_VALUE"""),"--")</f>
        <v>--</v>
      </c>
      <c r="G400" s="100" t="str">
        <f>IFERROR(__xludf.DUMMYFUNCTION("""COMPUTED_VALUE"""),"--")</f>
        <v>--</v>
      </c>
      <c r="H400" s="100" t="str">
        <f>IFERROR(__xludf.DUMMYFUNCTION("""COMPUTED_VALUE"""),"--")</f>
        <v>--</v>
      </c>
    </row>
    <row r="401">
      <c r="A401" s="95"/>
      <c r="B401" s="96" t="str">
        <f>IFERROR(__xludf.DUMMYFUNCTION("""COMPUTED_VALUE"""),"Postgame Boss")</f>
        <v>Postgame Boss</v>
      </c>
      <c r="C401" s="101" t="str">
        <f>IFERROR(__xludf.DUMMYFUNCTION("""COMPUTED_VALUE"""),"???")</f>
        <v>???</v>
      </c>
      <c r="D401" s="101">
        <f>IFERROR(__xludf.DUMMYFUNCTION("""COMPUTED_VALUE"""),16000.0)</f>
        <v>16000</v>
      </c>
      <c r="E401" s="101">
        <f>IFERROR(__xludf.DUMMYFUNCTION("""COMPUTED_VALUE"""),8000.0)</f>
        <v>8000</v>
      </c>
      <c r="F401" s="101" t="str">
        <f>IFERROR(__xludf.DUMMYFUNCTION("""COMPUTED_VALUE"""),"--")</f>
        <v>--</v>
      </c>
      <c r="G401" s="101" t="str">
        <f>IFERROR(__xludf.DUMMYFUNCTION("""COMPUTED_VALUE"""),"--")</f>
        <v>--</v>
      </c>
      <c r="H401" s="101" t="str">
        <f>IFERROR(__xludf.DUMMYFUNCTION("""COMPUTED_VALUE"""),"--")</f>
        <v>--</v>
      </c>
    </row>
    <row r="402">
      <c r="A402" s="92"/>
      <c r="B402" s="93" t="str">
        <f>IFERROR(__xludf.DUMMYFUNCTION("""COMPUTED_VALUE"""),"Postgame Boss")</f>
        <v>Postgame Boss</v>
      </c>
      <c r="C402" s="100" t="str">
        <f>IFERROR(__xludf.DUMMYFUNCTION("""COMPUTED_VALUE"""),"???")</f>
        <v>???</v>
      </c>
      <c r="D402" s="100">
        <f>IFERROR(__xludf.DUMMYFUNCTION("""COMPUTED_VALUE"""),0.0)</f>
        <v>0</v>
      </c>
      <c r="E402" s="100">
        <f>IFERROR(__xludf.DUMMYFUNCTION("""COMPUTED_VALUE"""),0.0)</f>
        <v>0</v>
      </c>
      <c r="F402" s="100" t="str">
        <f>IFERROR(__xludf.DUMMYFUNCTION("""COMPUTED_VALUE"""),"--")</f>
        <v>--</v>
      </c>
      <c r="G402" s="100" t="str">
        <f>IFERROR(__xludf.DUMMYFUNCTION("""COMPUTED_VALUE"""),"--")</f>
        <v>--</v>
      </c>
      <c r="H402" s="100" t="str">
        <f>IFERROR(__xludf.DUMMYFUNCTION("""COMPUTED_VALUE"""),"--")</f>
        <v>--</v>
      </c>
    </row>
    <row r="403">
      <c r="A403" s="95"/>
      <c r="B403" s="96" t="str">
        <f>IFERROR(__xludf.DUMMYFUNCTION("""COMPUTED_VALUE"""),"Malicious Black Dragon")</f>
        <v>Malicious Black Dragon</v>
      </c>
      <c r="C403" s="101" t="str">
        <f>IFERROR(__xludf.DUMMYFUNCTION("""COMPUTED_VALUE"""),"Dragon")</f>
        <v>Dragon</v>
      </c>
      <c r="D403" s="101">
        <f>IFERROR(__xludf.DUMMYFUNCTION("""COMPUTED_VALUE"""),2929.0)</f>
        <v>2929</v>
      </c>
      <c r="E403" s="101">
        <f>IFERROR(__xludf.DUMMYFUNCTION("""COMPUTED_VALUE"""),516.0)</f>
        <v>516</v>
      </c>
      <c r="F403" s="101" t="str">
        <f>IFERROR(__xludf.DUMMYFUNCTION("""COMPUTED_VALUE"""),"Serpent Skin")</f>
        <v>Serpent Skin</v>
      </c>
      <c r="G403" s="101" t="str">
        <f>IFERROR(__xludf.DUMMYFUNCTION("""COMPUTED_VALUE"""),"Serpent's Soul")</f>
        <v>Serpent's Soul</v>
      </c>
      <c r="H403" s="101" t="str">
        <f>IFERROR(__xludf.DUMMYFUNCTION("""COMPUTED_VALUE"""),"Heliodor Region, Heliodor Sewers")</f>
        <v>Heliodor Region, Heliodor Sewers</v>
      </c>
    </row>
    <row r="404">
      <c r="A404" s="92"/>
      <c r="B404" s="93" t="str">
        <f>IFERROR(__xludf.DUMMYFUNCTION("""COMPUTED_VALUE"""),"Malicious Hammerhood")</f>
        <v>Malicious Hammerhood</v>
      </c>
      <c r="C404" s="100" t="str">
        <f>IFERROR(__xludf.DUMMYFUNCTION("""COMPUTED_VALUE"""),"Humanoid")</f>
        <v>Humanoid</v>
      </c>
      <c r="D404" s="100">
        <f>IFERROR(__xludf.DUMMYFUNCTION("""COMPUTED_VALUE"""),1032.0)</f>
        <v>1032</v>
      </c>
      <c r="E404" s="100">
        <f>IFERROR(__xludf.DUMMYFUNCTION("""COMPUTED_VALUE"""),286.0)</f>
        <v>286</v>
      </c>
      <c r="F404" s="100" t="str">
        <f>IFERROR(__xludf.DUMMYFUNCTION("""COMPUTED_VALUE"""),"Strong Medicine")</f>
        <v>Strong Medicine</v>
      </c>
      <c r="G404" s="100" t="str">
        <f>IFERROR(__xludf.DUMMYFUNCTION("""COMPUTED_VALUE"""),"Hardy Hide")</f>
        <v>Hardy Hide</v>
      </c>
      <c r="H404" s="100" t="str">
        <f>IFERROR(__xludf.DUMMYFUNCTION("""COMPUTED_VALUE"""),"Heliodor Region")</f>
        <v>Heliodor Region</v>
      </c>
    </row>
    <row r="405">
      <c r="A405" s="95"/>
      <c r="B405" s="96" t="str">
        <f>IFERROR(__xludf.DUMMYFUNCTION("""COMPUTED_VALUE"""),"One-Man Army")</f>
        <v>One-Man Army</v>
      </c>
      <c r="C405" s="101" t="str">
        <f>IFERROR(__xludf.DUMMYFUNCTION("""COMPUTED_VALUE"""),"Undead")</f>
        <v>Undead</v>
      </c>
      <c r="D405" s="101">
        <f>IFERROR(__xludf.DUMMYFUNCTION("""COMPUTED_VALUE"""),1712.0)</f>
        <v>1712</v>
      </c>
      <c r="E405" s="101">
        <f>IFERROR(__xludf.DUMMYFUNCTION("""COMPUTED_VALUE"""),368.0)</f>
        <v>368</v>
      </c>
      <c r="F405" s="101" t="str">
        <f>IFERROR(__xludf.DUMMYFUNCTION("""COMPUTED_VALUE"""),"Big Bone")</f>
        <v>Big Bone</v>
      </c>
      <c r="G405" s="101" t="str">
        <f>IFERROR(__xludf.DUMMYFUNCTION("""COMPUTED_VALUE"""),"Thunderstorm Sword")</f>
        <v>Thunderstorm Sword</v>
      </c>
      <c r="H405" s="101" t="str">
        <f>IFERROR(__xludf.DUMMYFUNCTION("""COMPUTED_VALUE"""),"Heliodor Region, The Emerald Coast")</f>
        <v>Heliodor Region, The Emerald Coast</v>
      </c>
    </row>
    <row r="406">
      <c r="A406" s="92"/>
      <c r="B406" s="93" t="str">
        <f>IFERROR(__xludf.DUMMYFUNCTION("""COMPUTED_VALUE"""),"Grumpy Grublin")</f>
        <v>Grumpy Grublin</v>
      </c>
      <c r="C406" s="100" t="str">
        <f>IFERROR(__xludf.DUMMYFUNCTION("""COMPUTED_VALUE"""),"Humanoid")</f>
        <v>Humanoid</v>
      </c>
      <c r="D406" s="100">
        <f>IFERROR(__xludf.DUMMYFUNCTION("""COMPUTED_VALUE"""),1353.0)</f>
        <v>1353</v>
      </c>
      <c r="E406" s="100">
        <f>IFERROR(__xludf.DUMMYFUNCTION("""COMPUTED_VALUE"""),323.0)</f>
        <v>323</v>
      </c>
      <c r="F406" s="100" t="str">
        <f>IFERROR(__xludf.DUMMYFUNCTION("""COMPUTED_VALUE"""),"Fire Blade")</f>
        <v>Fire Blade</v>
      </c>
      <c r="G406" s="100" t="str">
        <f>IFERROR(__xludf.DUMMYFUNCTION("""COMPUTED_VALUE"""),"Flame Shield")</f>
        <v>Flame Shield</v>
      </c>
      <c r="H406" s="100" t="str">
        <f>IFERROR(__xludf.DUMMYFUNCTION("""COMPUTED_VALUE"""),"Heliodor Region")</f>
        <v>Heliodor Region</v>
      </c>
    </row>
    <row r="407">
      <c r="A407" s="95"/>
      <c r="B407" s="96" t="str">
        <f>IFERROR(__xludf.DUMMYFUNCTION("""COMPUTED_VALUE"""),"Malicious Platypunk")</f>
        <v>Malicious Platypunk</v>
      </c>
      <c r="C407" s="101" t="str">
        <f>IFERROR(__xludf.DUMMYFUNCTION("""COMPUTED_VALUE"""),"Beast")</f>
        <v>Beast</v>
      </c>
      <c r="D407" s="101">
        <f>IFERROR(__xludf.DUMMYFUNCTION("""COMPUTED_VALUE"""),1103.0)</f>
        <v>1103</v>
      </c>
      <c r="E407" s="101">
        <f>IFERROR(__xludf.DUMMYFUNCTION("""COMPUTED_VALUE"""),303.0)</f>
        <v>303</v>
      </c>
      <c r="F407" s="101" t="str">
        <f>IFERROR(__xludf.DUMMYFUNCTION("""COMPUTED_VALUE"""),"Hardy Hide")</f>
        <v>Hardy Hide</v>
      </c>
      <c r="G407" s="101" t="str">
        <f>IFERROR(__xludf.DUMMYFUNCTION("""COMPUTED_VALUE"""),"Fine Fur")</f>
        <v>Fine Fur</v>
      </c>
      <c r="H407" s="101" t="str">
        <f>IFERROR(__xludf.DUMMYFUNCTION("""COMPUTED_VALUE"""),"Heliodor Region")</f>
        <v>Heliodor Region</v>
      </c>
    </row>
    <row r="408">
      <c r="A408" s="98"/>
      <c r="B408" s="93" t="str">
        <f>IFERROR(__xludf.DUMMYFUNCTION("""COMPUTED_VALUE"""),"Archbashop")</f>
        <v>Archbashop</v>
      </c>
      <c r="C408" s="100" t="str">
        <f>IFERROR(__xludf.DUMMYFUNCTION("""COMPUTED_VALUE"""),"Demon")</f>
        <v>Demon</v>
      </c>
      <c r="D408" s="100">
        <f>IFERROR(__xludf.DUMMYFUNCTION("""COMPUTED_VALUE"""),1275.0)</f>
        <v>1275</v>
      </c>
      <c r="E408" s="100">
        <f>IFERROR(__xludf.DUMMYFUNCTION("""COMPUTED_VALUE"""),330.0)</f>
        <v>330</v>
      </c>
      <c r="F408" s="100" t="str">
        <f>IFERROR(__xludf.DUMMYFUNCTION("""COMPUTED_VALUE"""),"Lucida Shard")</f>
        <v>Lucida Shard</v>
      </c>
      <c r="G408" s="100" t="str">
        <f>IFERROR(__xludf.DUMMYFUNCTION("""COMPUTED_VALUE"""),"Night Stick")</f>
        <v>Night Stick</v>
      </c>
      <c r="H408" s="100" t="str">
        <f>IFERROR(__xludf.DUMMYFUNCTION("""COMPUTED_VALUE"""),"Heliodor Region, The Emerald Coast")</f>
        <v>Heliodor Region, The Emerald Coast</v>
      </c>
    </row>
    <row r="409">
      <c r="A409" s="99" t="str">
        <f>IFERROR(__xludf.DUMMYFUNCTION("""COMPUTED_VALUE"""),"P21")</f>
        <v>P21</v>
      </c>
      <c r="B409" s="96" t="str">
        <f>IFERROR(__xludf.DUMMYFUNCTION("""COMPUTED_VALUE"""),"Malicious Stark Raven")</f>
        <v>Malicious Stark Raven</v>
      </c>
      <c r="C409" s="101" t="str">
        <f>IFERROR(__xludf.DUMMYFUNCTION("""COMPUTED_VALUE"""),"Bird")</f>
        <v>Bird</v>
      </c>
      <c r="D409" s="101">
        <f>IFERROR(__xludf.DUMMYFUNCTION("""COMPUTED_VALUE"""),1032.0)</f>
        <v>1032</v>
      </c>
      <c r="E409" s="101">
        <f>IFERROR(__xludf.DUMMYFUNCTION("""COMPUTED_VALUE"""),296.0)</f>
        <v>296</v>
      </c>
      <c r="F409" s="101" t="str">
        <f>IFERROR(__xludf.DUMMYFUNCTION("""COMPUTED_VALUE"""),"Flurry Feather")</f>
        <v>Flurry Feather</v>
      </c>
      <c r="G409" s="101" t="str">
        <f>IFERROR(__xludf.DUMMYFUNCTION("""COMPUTED_VALUE"""),"Beast Bone")</f>
        <v>Beast Bone</v>
      </c>
      <c r="H409" s="101" t="str">
        <f>IFERROR(__xludf.DUMMYFUNCTION("""COMPUTED_VALUE"""),"Heliodor Region, Heliodor Sewers")</f>
        <v>Heliodor Region, Heliodor Sewers</v>
      </c>
    </row>
    <row r="410">
      <c r="A410" s="92"/>
      <c r="B410" s="93" t="str">
        <f>IFERROR(__xludf.DUMMYFUNCTION("""COMPUTED_VALUE"""),"Malicious Shadeshifter")</f>
        <v>Malicious Shadeshifter</v>
      </c>
      <c r="C410" s="100" t="str">
        <f>IFERROR(__xludf.DUMMYFUNCTION("""COMPUTED_VALUE"""),"Elemental")</f>
        <v>Elemental</v>
      </c>
      <c r="D410" s="100">
        <f>IFERROR(__xludf.DUMMYFUNCTION("""COMPUTED_VALUE"""),2240.0)</f>
        <v>2240</v>
      </c>
      <c r="E410" s="100">
        <f>IFERROR(__xludf.DUMMYFUNCTION("""COMPUTED_VALUE"""),302.0)</f>
        <v>302</v>
      </c>
      <c r="F410" s="100" t="str">
        <f>IFERROR(__xludf.DUMMYFUNCTION("""COMPUTED_VALUE"""),"Artful Amethyst")</f>
        <v>Artful Amethyst</v>
      </c>
      <c r="G410" s="100" t="str">
        <f>IFERROR(__xludf.DUMMYFUNCTION("""COMPUTED_VALUE"""),"Seed of Deftness")</f>
        <v>Seed of Deftness</v>
      </c>
      <c r="H410" s="100" t="str">
        <f>IFERROR(__xludf.DUMMYFUNCTION("""COMPUTED_VALUE"""),"Heliodor Region, The Emerald Coast")</f>
        <v>Heliodor Region, The Emerald Coast</v>
      </c>
    </row>
    <row r="411">
      <c r="A411" s="95"/>
      <c r="B411" s="96" t="str">
        <f>IFERROR(__xludf.DUMMYFUNCTION("""COMPUTED_VALUE"""),"Dark Sabrecat")</f>
        <v>Dark Sabrecat</v>
      </c>
      <c r="C411" s="101" t="str">
        <f>IFERROR(__xludf.DUMMYFUNCTION("""COMPUTED_VALUE"""),"Beast")</f>
        <v>Beast</v>
      </c>
      <c r="D411" s="101">
        <f>IFERROR(__xludf.DUMMYFUNCTION("""COMPUTED_VALUE"""),1530.0)</f>
        <v>1530</v>
      </c>
      <c r="E411" s="101">
        <f>IFERROR(__xludf.DUMMYFUNCTION("""COMPUTED_VALUE"""),307.0)</f>
        <v>307</v>
      </c>
      <c r="F411" s="101" t="str">
        <f>IFERROR(__xludf.DUMMYFUNCTION("""COMPUTED_VALUE"""),"Evencloth")</f>
        <v>Evencloth</v>
      </c>
      <c r="G411" s="101" t="str">
        <f>IFERROR(__xludf.DUMMYFUNCTION("""COMPUTED_VALUE"""),"Saint's Ashes")</f>
        <v>Saint's Ashes</v>
      </c>
      <c r="H411" s="101" t="str">
        <f>IFERROR(__xludf.DUMMYFUNCTION("""COMPUTED_VALUE"""),"Zwaardsrust Region, Zwaardsrust - Whale Way Station")</f>
        <v>Zwaardsrust Region, Zwaardsrust - Whale Way Station</v>
      </c>
    </row>
    <row r="412">
      <c r="A412" s="92"/>
      <c r="B412" s="93" t="str">
        <f>IFERROR(__xludf.DUMMYFUNCTION("""COMPUTED_VALUE"""),"Malicious Muddy Hand")</f>
        <v>Malicious Muddy Hand</v>
      </c>
      <c r="C412" s="100" t="str">
        <f>IFERROR(__xludf.DUMMYFUNCTION("""COMPUTED_VALUE"""),"Undead")</f>
        <v>Undead</v>
      </c>
      <c r="D412" s="100">
        <f>IFERROR(__xludf.DUMMYFUNCTION("""COMPUTED_VALUE"""),945.0)</f>
        <v>945</v>
      </c>
      <c r="E412" s="100">
        <f>IFERROR(__xludf.DUMMYFUNCTION("""COMPUTED_VALUE"""),237.0)</f>
        <v>237</v>
      </c>
      <c r="F412" s="100" t="str">
        <f>IFERROR(__xludf.DUMMYFUNCTION("""COMPUTED_VALUE"""),"Special Medicine")</f>
        <v>Special Medicine</v>
      </c>
      <c r="G412" s="100" t="str">
        <f>IFERROR(__xludf.DUMMYFUNCTION("""COMPUTED_VALUE"""),"Strength Ring")</f>
        <v>Strength Ring</v>
      </c>
      <c r="H412" s="100" t="str">
        <f>IFERROR(__xludf.DUMMYFUNCTION("""COMPUTED_VALUE"""),"The Manglegrove - Whale Way Station")</f>
        <v>The Manglegrove - Whale Way Station</v>
      </c>
    </row>
    <row r="413">
      <c r="A413" s="95"/>
      <c r="B413" s="96" t="str">
        <f>IFERROR(__xludf.DUMMYFUNCTION("""COMPUTED_VALUE"""),"Malicious Armful")</f>
        <v>Malicious Armful</v>
      </c>
      <c r="C413" s="101" t="str">
        <f>IFERROR(__xludf.DUMMYFUNCTION("""COMPUTED_VALUE"""),"Undead")</f>
        <v>Undead</v>
      </c>
      <c r="D413" s="101">
        <f>IFERROR(__xludf.DUMMYFUNCTION("""COMPUTED_VALUE"""),1897.0)</f>
        <v>1897</v>
      </c>
      <c r="E413" s="101">
        <f>IFERROR(__xludf.DUMMYFUNCTION("""COMPUTED_VALUE"""),415.0)</f>
        <v>415</v>
      </c>
      <c r="F413" s="101" t="str">
        <f>IFERROR(__xludf.DUMMYFUNCTION("""COMPUTED_VALUE"""),"Big Bone")</f>
        <v>Big Bone</v>
      </c>
      <c r="G413" s="101" t="str">
        <f>IFERROR(__xludf.DUMMYFUNCTION("""COMPUTED_VALUE"""),"Bandit Mail")</f>
        <v>Bandit Mail</v>
      </c>
      <c r="H413" s="101" t="str">
        <f>IFERROR(__xludf.DUMMYFUNCTION("""COMPUTED_VALUE"""),"The Manglegrove - Whale Way Station, The Battleground")</f>
        <v>The Manglegrove - Whale Way Station, The Battleground</v>
      </c>
    </row>
    <row r="414">
      <c r="A414" s="92"/>
      <c r="B414" s="93" t="str">
        <f>IFERROR(__xludf.DUMMYFUNCTION("""COMPUTED_VALUE"""),"Hell's Gatekeeper")</f>
        <v>Hell's Gatekeeper</v>
      </c>
      <c r="C414" s="100" t="str">
        <f>IFERROR(__xludf.DUMMYFUNCTION("""COMPUTED_VALUE"""),"Undead")</f>
        <v>Undead</v>
      </c>
      <c r="D414" s="100">
        <f>IFERROR(__xludf.DUMMYFUNCTION("""COMPUTED_VALUE"""),1680.0)</f>
        <v>1680</v>
      </c>
      <c r="E414" s="100">
        <f>IFERROR(__xludf.DUMMYFUNCTION("""COMPUTED_VALUE"""),366.0)</f>
        <v>366</v>
      </c>
      <c r="F414" s="100" t="str">
        <f>IFERROR(__xludf.DUMMYFUNCTION("""COMPUTED_VALUE"""),"Macabre Mantle")</f>
        <v>Macabre Mantle</v>
      </c>
      <c r="G414" s="100" t="str">
        <f>IFERROR(__xludf.DUMMYFUNCTION("""COMPUTED_VALUE"""),"Ruinous Shield")</f>
        <v>Ruinous Shield</v>
      </c>
      <c r="H414" s="100" t="str">
        <f>IFERROR(__xludf.DUMMYFUNCTION("""COMPUTED_VALUE"""),"Sniflheim Region, The Manglegrove - Whale Way Station")</f>
        <v>Sniflheim Region, The Manglegrove - Whale Way Station</v>
      </c>
    </row>
    <row r="415">
      <c r="A415" s="95"/>
      <c r="B415" s="96" t="str">
        <f>IFERROR(__xludf.DUMMYFUNCTION("""COMPUTED_VALUE"""),"Bilhaw")</f>
        <v>Bilhaw</v>
      </c>
      <c r="C415" s="101" t="str">
        <f>IFERROR(__xludf.DUMMYFUNCTION("""COMPUTED_VALUE"""),"Demon")</f>
        <v>Demon</v>
      </c>
      <c r="D415" s="101">
        <f>IFERROR(__xludf.DUMMYFUNCTION("""COMPUTED_VALUE"""),2644.0)</f>
        <v>2644</v>
      </c>
      <c r="E415" s="101">
        <f>IFERROR(__xludf.DUMMYFUNCTION("""COMPUTED_VALUE"""),612.0)</f>
        <v>612</v>
      </c>
      <c r="F415" s="101" t="str">
        <f>IFERROR(__xludf.DUMMYFUNCTION("""COMPUTED_VALUE"""),"Drasilian Sovereign")</f>
        <v>Drasilian Sovereign</v>
      </c>
      <c r="G415" s="101" t="str">
        <f>IFERROR(__xludf.DUMMYFUNCTION("""COMPUTED_VALUE"""),"Ogre Shield")</f>
        <v>Ogre Shield</v>
      </c>
      <c r="H415" s="101" t="str">
        <f>IFERROR(__xludf.DUMMYFUNCTION("""COMPUTED_VALUE"""),"The Hotto Steppe - Southern Whale Way Station")</f>
        <v>The Hotto Steppe - Southern Whale Way Station</v>
      </c>
    </row>
    <row r="416">
      <c r="A416" s="92"/>
      <c r="B416" s="102" t="str">
        <f>IFERROR(__xludf.DUMMYFUNCTION("""COMPUTED_VALUE"""),"Harmachis (Rarefied)")</f>
        <v>Harmachis (Rarefied)</v>
      </c>
      <c r="C416" s="93" t="str">
        <f>IFERROR(__xludf.DUMMYFUNCTION("""COMPUTED_VALUE"""),"Demon")</f>
        <v>Demon</v>
      </c>
      <c r="D416" s="93">
        <f>IFERROR(__xludf.DUMMYFUNCTION("""COMPUTED_VALUE"""),7200.0)</f>
        <v>7200</v>
      </c>
      <c r="E416" s="93">
        <f>IFERROR(__xludf.DUMMYFUNCTION("""COMPUTED_VALUE"""),2400.0)</f>
        <v>2400</v>
      </c>
      <c r="F416" s="93" t="str">
        <f>IFERROR(__xludf.DUMMYFUNCTION("""COMPUTED_VALUE"""),"Gold Bar")</f>
        <v>Gold Bar</v>
      </c>
      <c r="G416" s="93" t="str">
        <f>IFERROR(__xludf.DUMMYFUNCTION("""COMPUTED_VALUE"""),"Apollo's Axe")</f>
        <v>Apollo's Axe</v>
      </c>
      <c r="H416" s="93" t="str">
        <f>IFERROR(__xludf.DUMMYFUNCTION("""COMPUTED_VALUE"""),"The Hotto Steppe - Southern Whale Way Station: rare Bilhaw")</f>
        <v>The Hotto Steppe - Southern Whale Way Station: rare Bilhaw</v>
      </c>
    </row>
    <row r="417">
      <c r="A417" s="95"/>
      <c r="B417" s="96" t="str">
        <f>IFERROR(__xludf.DUMMYFUNCTION("""COMPUTED_VALUE"""),"Malicious Spitzfire")</f>
        <v>Malicious Spitzfire</v>
      </c>
      <c r="C417" s="101" t="str">
        <f>IFERROR(__xludf.DUMMYFUNCTION("""COMPUTED_VALUE"""),"Dragon")</f>
        <v>Dragon</v>
      </c>
      <c r="D417" s="101">
        <f>IFERROR(__xludf.DUMMYFUNCTION("""COMPUTED_VALUE"""),3110.0)</f>
        <v>3110</v>
      </c>
      <c r="E417" s="101">
        <f>IFERROR(__xludf.DUMMYFUNCTION("""COMPUTED_VALUE"""),616.0)</f>
        <v>616</v>
      </c>
      <c r="F417" s="101" t="str">
        <f>IFERROR(__xludf.DUMMYFUNCTION("""COMPUTED_VALUE"""),"Magic Beast Hide")</f>
        <v>Magic Beast Hide</v>
      </c>
      <c r="G417" s="101" t="str">
        <f>IFERROR(__xludf.DUMMYFUNCTION("""COMPUTED_VALUE"""),"Dragon Horn")</f>
        <v>Dragon Horn</v>
      </c>
      <c r="H417" s="101" t="str">
        <f>IFERROR(__xludf.DUMMYFUNCTION("""COMPUTED_VALUE"""),"Gallopolis Region, The Hotto Steppe - Northern Whale Way Station")</f>
        <v>Gallopolis Region, The Hotto Steppe - Northern Whale Way Station</v>
      </c>
    </row>
    <row r="418">
      <c r="A418" s="92"/>
      <c r="B418" s="93" t="str">
        <f>IFERROR(__xludf.DUMMYFUNCTION("""COMPUTED_VALUE"""),"Dread Dragon")</f>
        <v>Dread Dragon</v>
      </c>
      <c r="C418" s="100" t="str">
        <f>IFERROR(__xludf.DUMMYFUNCTION("""COMPUTED_VALUE"""),"Dragon")</f>
        <v>Dragon</v>
      </c>
      <c r="D418" s="100">
        <f>IFERROR(__xludf.DUMMYFUNCTION("""COMPUTED_VALUE"""),3220.0)</f>
        <v>3220</v>
      </c>
      <c r="E418" s="100">
        <f>IFERROR(__xludf.DUMMYFUNCTION("""COMPUTED_VALUE"""),503.0)</f>
        <v>503</v>
      </c>
      <c r="F418" s="100" t="str">
        <f>IFERROR(__xludf.DUMMYFUNCTION("""COMPUTED_VALUE"""),"Serpent Skin")</f>
        <v>Serpent Skin</v>
      </c>
      <c r="G418" s="100" t="str">
        <f>IFERROR(__xludf.DUMMYFUNCTION("""COMPUTED_VALUE"""),"Dragon Claws")</f>
        <v>Dragon Claws</v>
      </c>
      <c r="H418" s="100" t="str">
        <f>IFERROR(__xludf.DUMMYFUNCTION("""COMPUTED_VALUE"""),"The Emerald Coast, Dundrasil Region")</f>
        <v>The Emerald Coast, Dundrasil Region</v>
      </c>
    </row>
    <row r="419">
      <c r="A419" s="95"/>
      <c r="B419" s="96" t="str">
        <f>IFERROR(__xludf.DUMMYFUNCTION("""COMPUTED_VALUE"""),"Royal Reptile")</f>
        <v>Royal Reptile</v>
      </c>
      <c r="C419" s="101" t="str">
        <f>IFERROR(__xludf.DUMMYFUNCTION("""COMPUTED_VALUE"""),"Dragon")</f>
        <v>Dragon</v>
      </c>
      <c r="D419" s="101">
        <f>IFERROR(__xludf.DUMMYFUNCTION("""COMPUTED_VALUE"""),4220.0)</f>
        <v>4220</v>
      </c>
      <c r="E419" s="101">
        <f>IFERROR(__xludf.DUMMYFUNCTION("""COMPUTED_VALUE"""),527.0)</f>
        <v>527</v>
      </c>
      <c r="F419" s="101" t="str">
        <f>IFERROR(__xludf.DUMMYFUNCTION("""COMPUTED_VALUE"""),"Serpent's Soul")</f>
        <v>Serpent's Soul</v>
      </c>
      <c r="G419" s="101" t="str">
        <f>IFERROR(__xludf.DUMMYFUNCTION("""COMPUTED_VALUE"""),"Kaiser Axe")</f>
        <v>Kaiser Axe</v>
      </c>
      <c r="H419" s="101" t="str">
        <f>IFERROR(__xludf.DUMMYFUNCTION("""COMPUTED_VALUE"""),"Dundrasil Region, The Hotto Steppe - Northern Whale Way Station")</f>
        <v>Dundrasil Region, The Hotto Steppe - Northern Whale Way Station</v>
      </c>
    </row>
    <row r="420">
      <c r="A420" s="92"/>
      <c r="B420" s="93" t="str">
        <f>IFERROR(__xludf.DUMMYFUNCTION("""COMPUTED_VALUE"""),"Knight Abhorrent")</f>
        <v>Knight Abhorrent</v>
      </c>
      <c r="C420" s="100" t="str">
        <f>IFERROR(__xludf.DUMMYFUNCTION("""COMPUTED_VALUE"""),"Demon")</f>
        <v>Demon</v>
      </c>
      <c r="D420" s="100">
        <f>IFERROR(__xludf.DUMMYFUNCTION("""COMPUTED_VALUE"""),1738.0)</f>
        <v>1738</v>
      </c>
      <c r="E420" s="100">
        <f>IFERROR(__xludf.DUMMYFUNCTION("""COMPUTED_VALUE"""),520.0)</f>
        <v>520</v>
      </c>
      <c r="F420" s="100" t="str">
        <f>IFERROR(__xludf.DUMMYFUNCTION("""COMPUTED_VALUE"""),"Molten Globules")</f>
        <v>Molten Globules</v>
      </c>
      <c r="G420" s="100" t="str">
        <f>IFERROR(__xludf.DUMMYFUNCTION("""COMPUTED_VALUE"""),"Psyche Swiper")</f>
        <v>Psyche Swiper</v>
      </c>
      <c r="H420" s="100" t="str">
        <f>IFERROR(__xludf.DUMMYFUNCTION("""COMPUTED_VALUE"""),"Champs Sauvage - Whale Way Station, The Battleground")</f>
        <v>Champs Sauvage - Whale Way Station, The Battleground</v>
      </c>
    </row>
    <row r="421">
      <c r="A421" s="95"/>
      <c r="B421" s="96" t="str">
        <f>IFERROR(__xludf.DUMMYFUNCTION("""COMPUTED_VALUE"""),"Hyperanemon")</f>
        <v>Hyperanemon</v>
      </c>
      <c r="C421" s="101" t="str">
        <f>IFERROR(__xludf.DUMMYFUNCTION("""COMPUTED_VALUE"""),"Demon")</f>
        <v>Demon</v>
      </c>
      <c r="D421" s="101">
        <f>IFERROR(__xludf.DUMMYFUNCTION("""COMPUTED_VALUE"""),1816.0)</f>
        <v>1816</v>
      </c>
      <c r="E421" s="101">
        <f>IFERROR(__xludf.DUMMYFUNCTION("""COMPUTED_VALUE"""),502.0)</f>
        <v>502</v>
      </c>
      <c r="F421" s="101" t="str">
        <f>IFERROR(__xludf.DUMMYFUNCTION("""COMPUTED_VALUE"""),"Sunny Citrine")</f>
        <v>Sunny Citrine</v>
      </c>
      <c r="G421" s="101" t="str">
        <f>IFERROR(__xludf.DUMMYFUNCTION("""COMPUTED_VALUE"""),"Dark Shield")</f>
        <v>Dark Shield</v>
      </c>
      <c r="H421" s="101" t="str">
        <f>IFERROR(__xludf.DUMMYFUNCTION("""COMPUTED_VALUE"""),"The Other Side, Champs Sauvage - Whale Way Station")</f>
        <v>The Other Side, Champs Sauvage - Whale Way Station</v>
      </c>
    </row>
    <row r="422">
      <c r="A422" s="92"/>
      <c r="B422" s="93" t="str">
        <f>IFERROR(__xludf.DUMMYFUNCTION("""COMPUTED_VALUE"""),"Malicious Slimecicle")</f>
        <v>Malicious Slimecicle</v>
      </c>
      <c r="C422" s="100" t="str">
        <f>IFERROR(__xludf.DUMMYFUNCTION("""COMPUTED_VALUE"""),"Slime")</f>
        <v>Slime</v>
      </c>
      <c r="D422" s="100">
        <f>IFERROR(__xludf.DUMMYFUNCTION("""COMPUTED_VALUE"""),982.0)</f>
        <v>982</v>
      </c>
      <c r="E422" s="100">
        <f>IFERROR(__xludf.DUMMYFUNCTION("""COMPUTED_VALUE"""),286.0)</f>
        <v>286</v>
      </c>
      <c r="F422" s="100" t="str">
        <f>IFERROR(__xludf.DUMMYFUNCTION("""COMPUTED_VALUE"""),"Blue Eye")</f>
        <v>Blue Eye</v>
      </c>
      <c r="G422" s="100" t="str">
        <f>IFERROR(__xludf.DUMMYFUNCTION("""COMPUTED_VALUE"""),"Ice Crystal")</f>
        <v>Ice Crystal</v>
      </c>
      <c r="H422" s="100" t="str">
        <f>IFERROR(__xludf.DUMMYFUNCTION("""COMPUTED_VALUE"""),"Sniflheim Region (Snowing), Sniflheim - Whale Way Station")</f>
        <v>Sniflheim Region (Snowing), Sniflheim - Whale Way Station</v>
      </c>
    </row>
    <row r="423">
      <c r="A423" s="95"/>
      <c r="B423" s="96" t="str">
        <f>IFERROR(__xludf.DUMMYFUNCTION("""COMPUTED_VALUE"""),"Malicious Luminous Lampling")</f>
        <v>Malicious Luminous Lampling</v>
      </c>
      <c r="C423" s="101" t="str">
        <f>IFERROR(__xludf.DUMMYFUNCTION("""COMPUTED_VALUE"""),"Material")</f>
        <v>Material</v>
      </c>
      <c r="D423" s="101">
        <f>IFERROR(__xludf.DUMMYFUNCTION("""COMPUTED_VALUE"""),1034.0)</f>
        <v>1034</v>
      </c>
      <c r="E423" s="101">
        <f>IFERROR(__xludf.DUMMYFUNCTION("""COMPUTED_VALUE"""),241.0)</f>
        <v>241</v>
      </c>
      <c r="F423" s="101" t="str">
        <f>IFERROR(__xludf.DUMMYFUNCTION("""COMPUTED_VALUE"""),"Lamplight")</f>
        <v>Lamplight</v>
      </c>
      <c r="G423" s="101" t="str">
        <f>IFERROR(__xludf.DUMMYFUNCTION("""COMPUTED_VALUE"""),"Brighten Rock")</f>
        <v>Brighten Rock</v>
      </c>
      <c r="H423" s="101" t="str">
        <f>IFERROR(__xludf.DUMMYFUNCTION("""COMPUTED_VALUE"""),"The Snaerfelt, Sniflheim - Whale Way Station")</f>
        <v>The Snaerfelt, Sniflheim - Whale Way Station</v>
      </c>
    </row>
    <row r="424">
      <c r="A424" s="92"/>
      <c r="B424" s="93" t="str">
        <f>IFERROR(__xludf.DUMMYFUNCTION("""COMPUTED_VALUE"""),"Glacial Golem")</f>
        <v>Glacial Golem</v>
      </c>
      <c r="C424" s="100" t="str">
        <f>IFERROR(__xludf.DUMMYFUNCTION("""COMPUTED_VALUE"""),"Material")</f>
        <v>Material</v>
      </c>
      <c r="D424" s="100">
        <f>IFERROR(__xludf.DUMMYFUNCTION("""COMPUTED_VALUE"""),2060.0)</f>
        <v>2060</v>
      </c>
      <c r="E424" s="100">
        <f>IFERROR(__xludf.DUMMYFUNCTION("""COMPUTED_VALUE"""),505.0)</f>
        <v>505</v>
      </c>
      <c r="F424" s="100" t="str">
        <f>IFERROR(__xludf.DUMMYFUNCTION("""COMPUTED_VALUE"""),"Chronocrystal")</f>
        <v>Chronocrystal</v>
      </c>
      <c r="G424" s="100" t="str">
        <f>IFERROR(__xludf.DUMMYFUNCTION("""COMPUTED_VALUE"""),"Kaleidocloth")</f>
        <v>Kaleidocloth</v>
      </c>
      <c r="H424" s="100" t="str">
        <f>IFERROR(__xludf.DUMMYFUNCTION("""COMPUTED_VALUE"""),"The Snaerfelt, Sniflheim - Whale Way Station")</f>
        <v>The Snaerfelt, Sniflheim - Whale Way Station</v>
      </c>
    </row>
    <row r="425">
      <c r="A425" s="95"/>
      <c r="B425" s="96" t="str">
        <f>IFERROR(__xludf.DUMMYFUNCTION("""COMPUTED_VALUE"""),"Malicious Boreal Serpent")</f>
        <v>Malicious Boreal Serpent</v>
      </c>
      <c r="C425" s="101" t="str">
        <f>IFERROR(__xludf.DUMMYFUNCTION("""COMPUTED_VALUE"""),"Dragon")</f>
        <v>Dragon</v>
      </c>
      <c r="D425" s="101">
        <f>IFERROR(__xludf.DUMMYFUNCTION("""COMPUTED_VALUE"""),2864.0)</f>
        <v>2864</v>
      </c>
      <c r="E425" s="101">
        <f>IFERROR(__xludf.DUMMYFUNCTION("""COMPUTED_VALUE"""),404.0)</f>
        <v>404</v>
      </c>
      <c r="F425" s="101" t="str">
        <f>IFERROR(__xludf.DUMMYFUNCTION("""COMPUTED_VALUE"""),"Serpent's Soul")</f>
        <v>Serpent's Soul</v>
      </c>
      <c r="G425" s="101" t="str">
        <f>IFERROR(__xludf.DUMMYFUNCTION("""COMPUTED_VALUE"""),"Seed of Life")</f>
        <v>Seed of Life</v>
      </c>
      <c r="H425" s="101" t="str">
        <f>IFERROR(__xludf.DUMMYFUNCTION("""COMPUTED_VALUE"""),"Mount Pang Lai, Sniflheim - Whale Way Station")</f>
        <v>Mount Pang Lai, Sniflheim - Whale Way Station</v>
      </c>
    </row>
    <row r="426">
      <c r="A426" s="92"/>
      <c r="B426" s="93" t="str">
        <f>IFERROR(__xludf.DUMMYFUNCTION("""COMPUTED_VALUE"""),"Malicious Cyclown")</f>
        <v>Malicious Cyclown</v>
      </c>
      <c r="C426" s="100" t="str">
        <f>IFERROR(__xludf.DUMMYFUNCTION("""COMPUTED_VALUE"""),"Elemental")</f>
        <v>Elemental</v>
      </c>
      <c r="D426" s="100">
        <f>IFERROR(__xludf.DUMMYFUNCTION("""COMPUTED_VALUE"""),1317.0)</f>
        <v>1317</v>
      </c>
      <c r="E426" s="100">
        <f>IFERROR(__xludf.DUMMYFUNCTION("""COMPUTED_VALUE"""),270.0)</f>
        <v>270</v>
      </c>
      <c r="F426" s="100" t="str">
        <f>IFERROR(__xludf.DUMMYFUNCTION("""COMPUTED_VALUE"""),"Grass Frit")</f>
        <v>Grass Frit</v>
      </c>
      <c r="G426" s="100" t="str">
        <f>IFERROR(__xludf.DUMMYFUNCTION("""COMPUTED_VALUE"""),"Agility Ring")</f>
        <v>Agility Ring</v>
      </c>
      <c r="H426" s="100" t="str">
        <f>IFERROR(__xludf.DUMMYFUNCTION("""COMPUTED_VALUE"""),"The First Forest - Whale Way Station, The Sea (Inner)")</f>
        <v>The First Forest - Whale Way Station, The Sea (Inner)</v>
      </c>
    </row>
    <row r="427">
      <c r="A427" s="95"/>
      <c r="B427" s="96" t="str">
        <f>IFERROR(__xludf.DUMMYFUNCTION("""COMPUTED_VALUE"""),"Hooper Duper")</f>
        <v>Hooper Duper</v>
      </c>
      <c r="C427" s="101" t="str">
        <f>IFERROR(__xludf.DUMMYFUNCTION("""COMPUTED_VALUE"""),"Demon")</f>
        <v>Demon</v>
      </c>
      <c r="D427" s="101">
        <f>IFERROR(__xludf.DUMMYFUNCTION("""COMPUTED_VALUE"""),1680.0)</f>
        <v>1680</v>
      </c>
      <c r="E427" s="101">
        <f>IFERROR(__xludf.DUMMYFUNCTION("""COMPUTED_VALUE"""),505.0)</f>
        <v>505</v>
      </c>
      <c r="F427" s="101" t="str">
        <f>IFERROR(__xludf.DUMMYFUNCTION("""COMPUTED_VALUE"""),"Devilry Drinker")</f>
        <v>Devilry Drinker</v>
      </c>
      <c r="G427" s="101" t="str">
        <f>IFERROR(__xludf.DUMMYFUNCTION("""COMPUTED_VALUE"""),"Seed of Sorcery")</f>
        <v>Seed of Sorcery</v>
      </c>
      <c r="H427" s="101" t="str">
        <f>IFERROR(__xludf.DUMMYFUNCTION("""COMPUTED_VALUE"""),"The Hotto Steppe, The First Forest - Whale Way Station")</f>
        <v>The Hotto Steppe, The First Forest - Whale Way Station</v>
      </c>
    </row>
    <row r="428">
      <c r="A428" s="98"/>
      <c r="B428" s="93" t="str">
        <f>IFERROR(__xludf.DUMMYFUNCTION("""COMPUTED_VALUE"""),"Spawny Devil")</f>
        <v>Spawny Devil</v>
      </c>
      <c r="C428" s="100" t="str">
        <f>IFERROR(__xludf.DUMMYFUNCTION("""COMPUTED_VALUE"""),"Demon")</f>
        <v>Demon</v>
      </c>
      <c r="D428" s="100">
        <f>IFERROR(__xludf.DUMMYFUNCTION("""COMPUTED_VALUE"""),1414.0)</f>
        <v>1414</v>
      </c>
      <c r="E428" s="100">
        <f>IFERROR(__xludf.DUMMYFUNCTION("""COMPUTED_VALUE"""),304.0)</f>
        <v>304</v>
      </c>
      <c r="F428" s="100" t="str">
        <f>IFERROR(__xludf.DUMMYFUNCTION("""COMPUTED_VALUE"""),"Ethereal Stone")</f>
        <v>Ethereal Stone</v>
      </c>
      <c r="G428" s="100" t="str">
        <f>IFERROR(__xludf.DUMMYFUNCTION("""COMPUTED_VALUE"""),"Berserker's Blade")</f>
        <v>Berserker's Blade</v>
      </c>
      <c r="H428" s="100" t="str">
        <f>IFERROR(__xludf.DUMMYFUNCTION("""COMPUTED_VALUE"""),"The First Forest - Whale Way Station")</f>
        <v>The First Forest - Whale Way Station</v>
      </c>
    </row>
    <row r="429">
      <c r="A429" s="99" t="str">
        <f>IFERROR(__xludf.DUMMYFUNCTION("""COMPUTED_VALUE"""),"P22")</f>
        <v>P22</v>
      </c>
      <c r="B429" s="96" t="str">
        <f>IFERROR(__xludf.DUMMYFUNCTION("""COMPUTED_VALUE"""),"Malicious Dancing Devil")</f>
        <v>Malicious Dancing Devil</v>
      </c>
      <c r="C429" s="101" t="str">
        <f>IFERROR(__xludf.DUMMYFUNCTION("""COMPUTED_VALUE"""),"Demon")</f>
        <v>Demon</v>
      </c>
      <c r="D429" s="101">
        <f>IFERROR(__xludf.DUMMYFUNCTION("""COMPUTED_VALUE"""),1045.0)</f>
        <v>1045</v>
      </c>
      <c r="E429" s="101">
        <f>IFERROR(__xludf.DUMMYFUNCTION("""COMPUTED_VALUE"""),228.0)</f>
        <v>228</v>
      </c>
      <c r="F429" s="101" t="str">
        <f>IFERROR(__xludf.DUMMYFUNCTION("""COMPUTED_VALUE"""),"Chimaera Wing")</f>
        <v>Chimaera Wing</v>
      </c>
      <c r="G429" s="101" t="str">
        <f>IFERROR(__xludf.DUMMYFUNCTION("""COMPUTED_VALUE"""),"Boxer Shorts")</f>
        <v>Boxer Shorts</v>
      </c>
      <c r="H429" s="101" t="str">
        <f>IFERROR(__xludf.DUMMYFUNCTION("""COMPUTED_VALUE"""),"The Emerald Coast")</f>
        <v>The Emerald Coast</v>
      </c>
    </row>
    <row r="430">
      <c r="A430" s="92"/>
      <c r="B430" s="93" t="str">
        <f>IFERROR(__xludf.DUMMYFUNCTION("""COMPUTED_VALUE"""),"Malicious Chewlip")</f>
        <v>Malicious Chewlip</v>
      </c>
      <c r="C430" s="100" t="str">
        <f>IFERROR(__xludf.DUMMYFUNCTION("""COMPUTED_VALUE"""),"Nature")</f>
        <v>Nature</v>
      </c>
      <c r="D430" s="100">
        <f>IFERROR(__xludf.DUMMYFUNCTION("""COMPUTED_VALUE"""),1531.0)</f>
        <v>1531</v>
      </c>
      <c r="E430" s="100">
        <f>IFERROR(__xludf.DUMMYFUNCTION("""COMPUTED_VALUE"""),417.0)</f>
        <v>417</v>
      </c>
      <c r="F430" s="100" t="str">
        <f>IFERROR(__xludf.DUMMYFUNCTION("""COMPUTED_VALUE"""),"Sleeping Hibiscus")</f>
        <v>Sleeping Hibiscus</v>
      </c>
      <c r="G430" s="100" t="str">
        <f>IFERROR(__xludf.DUMMYFUNCTION("""COMPUTED_VALUE"""),"Rosewhip")</f>
        <v>Rosewhip</v>
      </c>
      <c r="H430" s="100" t="str">
        <f>IFERROR(__xludf.DUMMYFUNCTION("""COMPUTED_VALUE"""),"The Manglegrove, The Emerald Coast")</f>
        <v>The Manglegrove, The Emerald Coast</v>
      </c>
    </row>
    <row r="431">
      <c r="A431" s="95"/>
      <c r="B431" s="96" t="str">
        <f>IFERROR(__xludf.DUMMYFUNCTION("""COMPUTED_VALUE"""),"Malicious Eggsoskeleton")</f>
        <v>Malicious Eggsoskeleton</v>
      </c>
      <c r="C431" s="101" t="str">
        <f>IFERROR(__xludf.DUMMYFUNCTION("""COMPUTED_VALUE"""),"Machine")</f>
        <v>Machine</v>
      </c>
      <c r="D431" s="101">
        <f>IFERROR(__xludf.DUMMYFUNCTION("""COMPUTED_VALUE"""),1260.0)</f>
        <v>1260</v>
      </c>
      <c r="E431" s="101">
        <f>IFERROR(__xludf.DUMMYFUNCTION("""COMPUTED_VALUE"""),302.0)</f>
        <v>302</v>
      </c>
      <c r="F431" s="101" t="str">
        <f>IFERROR(__xludf.DUMMYFUNCTION("""COMPUTED_VALUE"""),"Copper Ore")</f>
        <v>Copper Ore</v>
      </c>
      <c r="G431" s="101" t="str">
        <f>IFERROR(__xludf.DUMMYFUNCTION("""COMPUTED_VALUE"""),"Royal Ruby")</f>
        <v>Royal Ruby</v>
      </c>
      <c r="H431" s="101" t="str">
        <f>IFERROR(__xludf.DUMMYFUNCTION("""COMPUTED_VALUE"""),"The Emerald Coast, The Kingsbarrow")</f>
        <v>The Emerald Coast, The Kingsbarrow</v>
      </c>
    </row>
    <row r="432">
      <c r="A432" s="92"/>
      <c r="B432" s="93" t="str">
        <f>IFERROR(__xludf.DUMMYFUNCTION("""COMPUTED_VALUE"""),"Snotbonce")</f>
        <v>Snotbonce</v>
      </c>
      <c r="C432" s="100" t="str">
        <f>IFERROR(__xludf.DUMMYFUNCTION("""COMPUTED_VALUE"""),"Demon")</f>
        <v>Demon</v>
      </c>
      <c r="D432" s="100">
        <f>IFERROR(__xludf.DUMMYFUNCTION("""COMPUTED_VALUE"""),1103.0)</f>
        <v>1103</v>
      </c>
      <c r="E432" s="100">
        <f>IFERROR(__xludf.DUMMYFUNCTION("""COMPUTED_VALUE"""),301.0)</f>
        <v>301</v>
      </c>
      <c r="F432" s="100" t="str">
        <f>IFERROR(__xludf.DUMMYFUNCTION("""COMPUTED_VALUE"""),"Twisted Talons")</f>
        <v>Twisted Talons</v>
      </c>
      <c r="G432" s="100" t="str">
        <f>IFERROR(__xludf.DUMMYFUNCTION("""COMPUTED_VALUE"""),"Sunny Citrine")</f>
        <v>Sunny Citrine</v>
      </c>
      <c r="H432" s="100" t="str">
        <f>IFERROR(__xludf.DUMMYFUNCTION("""COMPUTED_VALUE"""),"The Emerald Coast, The Kingsbarrow")</f>
        <v>The Emerald Coast, The Kingsbarrow</v>
      </c>
    </row>
    <row r="433">
      <c r="A433" s="95"/>
      <c r="B433" s="96" t="str">
        <f>IFERROR(__xludf.DUMMYFUNCTION("""COMPUTED_VALUE"""),"Bilebonnet")</f>
        <v>Bilebonnet</v>
      </c>
      <c r="C433" s="101" t="str">
        <f>IFERROR(__xludf.DUMMYFUNCTION("""COMPUTED_VALUE"""),"Demon")</f>
        <v>Demon</v>
      </c>
      <c r="D433" s="101">
        <f>IFERROR(__xludf.DUMMYFUNCTION("""COMPUTED_VALUE"""),1156.0)</f>
        <v>1156</v>
      </c>
      <c r="E433" s="101">
        <f>IFERROR(__xludf.DUMMYFUNCTION("""COMPUTED_VALUE"""),321.0)</f>
        <v>321</v>
      </c>
      <c r="F433" s="101" t="str">
        <f>IFERROR(__xludf.DUMMYFUNCTION("""COMPUTED_VALUE"""),"Twisted Talons")</f>
        <v>Twisted Talons</v>
      </c>
      <c r="G433" s="101" t="str">
        <f>IFERROR(__xludf.DUMMYFUNCTION("""COMPUTED_VALUE"""),"Equable Emerald")</f>
        <v>Equable Emerald</v>
      </c>
      <c r="H433" s="101" t="str">
        <f>IFERROR(__xludf.DUMMYFUNCTION("""COMPUTED_VALUE"""),"The Emerald Coast, The Kingsbarrow")</f>
        <v>The Emerald Coast, The Kingsbarrow</v>
      </c>
    </row>
    <row r="434">
      <c r="A434" s="92"/>
      <c r="B434" s="93" t="str">
        <f>IFERROR(__xludf.DUMMYFUNCTION("""COMPUTED_VALUE"""),"Maliciious Cyclops")</f>
        <v>Maliciious Cyclops</v>
      </c>
      <c r="C434" s="100" t="str">
        <f>IFERROR(__xludf.DUMMYFUNCTION("""COMPUTED_VALUE"""),"Demon")</f>
        <v>Demon</v>
      </c>
      <c r="D434" s="100">
        <f>IFERROR(__xludf.DUMMYFUNCTION("""COMPUTED_VALUE"""),3204.0)</f>
        <v>3204</v>
      </c>
      <c r="E434" s="100">
        <f>IFERROR(__xludf.DUMMYFUNCTION("""COMPUTED_VALUE"""),409.0)</f>
        <v>409</v>
      </c>
      <c r="F434" s="100" t="str">
        <f>IFERROR(__xludf.DUMMYFUNCTION("""COMPUTED_VALUE"""),"Blue Eye")</f>
        <v>Blue Eye</v>
      </c>
      <c r="G434" s="100" t="str">
        <f>IFERROR(__xludf.DUMMYFUNCTION("""COMPUTED_VALUE"""),"Hairy Vest")</f>
        <v>Hairy Vest</v>
      </c>
      <c r="H434" s="100" t="str">
        <f>IFERROR(__xludf.DUMMYFUNCTION("""COMPUTED_VALUE"""),"The Manglegrove, The Emerald Coast")</f>
        <v>The Manglegrove, The Emerald Coast</v>
      </c>
    </row>
    <row r="435">
      <c r="A435" s="95"/>
      <c r="B435" s="96" t="str">
        <f>IFERROR(__xludf.DUMMYFUNCTION("""COMPUTED_VALUE"""),"Malicious Needler")</f>
        <v>Malicious Needler</v>
      </c>
      <c r="C435" s="101" t="str">
        <f>IFERROR(__xludf.DUMMYFUNCTION("""COMPUTED_VALUE"""),"Humanoid")</f>
        <v>Humanoid</v>
      </c>
      <c r="D435" s="101">
        <f>IFERROR(__xludf.DUMMYFUNCTION("""COMPUTED_VALUE"""),845.0)</f>
        <v>845</v>
      </c>
      <c r="E435" s="101">
        <f>IFERROR(__xludf.DUMMYFUNCTION("""COMPUTED_VALUE"""),229.0)</f>
        <v>229</v>
      </c>
      <c r="F435" s="101" t="str">
        <f>IFERROR(__xludf.DUMMYFUNCTION("""COMPUTED_VALUE"""),"Special Medicine")</f>
        <v>Special Medicine</v>
      </c>
      <c r="G435" s="101" t="str">
        <f>IFERROR(__xludf.DUMMYFUNCTION("""COMPUTED_VALUE"""),"Lambswool")</f>
        <v>Lambswool</v>
      </c>
      <c r="H435" s="101" t="str">
        <f>IFERROR(__xludf.DUMMYFUNCTION("""COMPUTED_VALUE"""),"Cobblestone Tor")</f>
        <v>Cobblestone Tor</v>
      </c>
    </row>
    <row r="436">
      <c r="A436" s="92"/>
      <c r="B436" s="93" t="str">
        <f>IFERROR(__xludf.DUMMYFUNCTION("""COMPUTED_VALUE"""),"Electric Needler")</f>
        <v>Electric Needler</v>
      </c>
      <c r="C436" s="100" t="str">
        <f>IFERROR(__xludf.DUMMYFUNCTION("""COMPUTED_VALUE"""),"Humanoid")</f>
        <v>Humanoid</v>
      </c>
      <c r="D436" s="100">
        <f>IFERROR(__xludf.DUMMYFUNCTION("""COMPUTED_VALUE"""),1345.0)</f>
        <v>1345</v>
      </c>
      <c r="E436" s="100">
        <f>IFERROR(__xludf.DUMMYFUNCTION("""COMPUTED_VALUE"""),313.0)</f>
        <v>313</v>
      </c>
      <c r="F436" s="100" t="str">
        <f>IFERROR(__xludf.DUMMYFUNCTION("""COMPUTED_VALUE"""),"Special Medicine")</f>
        <v>Special Medicine</v>
      </c>
      <c r="G436" s="100" t="str">
        <f>IFERROR(__xludf.DUMMYFUNCTION("""COMPUTED_VALUE"""),"Thunderball")</f>
        <v>Thunderball</v>
      </c>
      <c r="H436" s="100" t="str">
        <f>IFERROR(__xludf.DUMMYFUNCTION("""COMPUTED_VALUE"""),"Cobblestone Tor, The Battleground")</f>
        <v>Cobblestone Tor, The Battleground</v>
      </c>
    </row>
    <row r="437">
      <c r="A437" s="95"/>
      <c r="B437" s="96" t="str">
        <f>IFERROR(__xludf.DUMMYFUNCTION("""COMPUTED_VALUE"""),"Malicious Hades Condor")</f>
        <v>Malicious Hades Condor</v>
      </c>
      <c r="C437" s="101" t="str">
        <f>IFERROR(__xludf.DUMMYFUNCTION("""COMPUTED_VALUE"""),"Bird")</f>
        <v>Bird</v>
      </c>
      <c r="D437" s="101">
        <f>IFERROR(__xludf.DUMMYFUNCTION("""COMPUTED_VALUE"""),28000.0)</f>
        <v>28000</v>
      </c>
      <c r="E437" s="101">
        <f>IFERROR(__xludf.DUMMYFUNCTION("""COMPUTED_VALUE"""),9000.0)</f>
        <v>9000</v>
      </c>
      <c r="F437" s="101" t="str">
        <f>IFERROR(__xludf.DUMMYFUNCTION("""COMPUTED_VALUE"""),"--")</f>
        <v>--</v>
      </c>
      <c r="G437" s="101" t="str">
        <f>IFERROR(__xludf.DUMMYFUNCTION("""COMPUTED_VALUE"""),"--")</f>
        <v>--</v>
      </c>
      <c r="H437" s="101" t="str">
        <f>IFERROR(__xludf.DUMMYFUNCTION("""COMPUTED_VALUE"""),"--")</f>
        <v>--</v>
      </c>
    </row>
    <row r="438">
      <c r="A438" s="92"/>
      <c r="B438" s="93" t="str">
        <f>IFERROR(__xludf.DUMMYFUNCTION("""COMPUTED_VALUE"""),"Malicious Little Devil")</f>
        <v>Malicious Little Devil</v>
      </c>
      <c r="C438" s="100" t="str">
        <f>IFERROR(__xludf.DUMMYFUNCTION("""COMPUTED_VALUE"""),"Demon")</f>
        <v>Demon</v>
      </c>
      <c r="D438" s="100">
        <f>IFERROR(__xludf.DUMMYFUNCTION("""COMPUTED_VALUE"""),1289.0)</f>
        <v>1289</v>
      </c>
      <c r="E438" s="100">
        <f>IFERROR(__xludf.DUMMYFUNCTION("""COMPUTED_VALUE"""),267.0)</f>
        <v>267</v>
      </c>
      <c r="F438" s="100" t="str">
        <f>IFERROR(__xludf.DUMMYFUNCTION("""COMPUTED_VALUE"""),"Magic Water")</f>
        <v>Magic Water</v>
      </c>
      <c r="G438" s="100" t="str">
        <f>IFERROR(__xludf.DUMMYFUNCTION("""COMPUTED_VALUE"""),"Wing of Bat")</f>
        <v>Wing of Bat</v>
      </c>
      <c r="H438" s="100" t="str">
        <f>IFERROR(__xludf.DUMMYFUNCTION("""COMPUTED_VALUE"""),"The Kingsbarrow")</f>
        <v>The Kingsbarrow</v>
      </c>
    </row>
    <row r="439">
      <c r="A439" s="95"/>
      <c r="B439" s="96" t="str">
        <f>IFERROR(__xludf.DUMMYFUNCTION("""COMPUTED_VALUE"""),"Abracadabrer")</f>
        <v>Abracadabrer</v>
      </c>
      <c r="C439" s="101" t="str">
        <f>IFERROR(__xludf.DUMMYFUNCTION("""COMPUTED_VALUE"""),"Humanoid")</f>
        <v>Humanoid</v>
      </c>
      <c r="D439" s="101">
        <f>IFERROR(__xludf.DUMMYFUNCTION("""COMPUTED_VALUE"""),1575.0)</f>
        <v>1575</v>
      </c>
      <c r="E439" s="101">
        <f>IFERROR(__xludf.DUMMYFUNCTION("""COMPUTED_VALUE"""),410.0)</f>
        <v>410</v>
      </c>
      <c r="F439" s="101" t="str">
        <f>IFERROR(__xludf.DUMMYFUNCTION("""COMPUTED_VALUE"""),"Prayer Ring")</f>
        <v>Prayer Ring</v>
      </c>
      <c r="G439" s="101" t="str">
        <f>IFERROR(__xludf.DUMMYFUNCTION("""COMPUTED_VALUE"""),"Crimson Robe")</f>
        <v>Crimson Robe</v>
      </c>
      <c r="H439" s="101" t="str">
        <f>IFERROR(__xludf.DUMMYFUNCTION("""COMPUTED_VALUE"""),"The Kingsbarrow, Insula Australis")</f>
        <v>The Kingsbarrow, Insula Australis</v>
      </c>
    </row>
    <row r="440">
      <c r="A440" s="92"/>
      <c r="B440" s="93" t="str">
        <f>IFERROR(__xludf.DUMMYFUNCTION("""COMPUTED_VALUE"""),"Malicious Mecha-Mynah")</f>
        <v>Malicious Mecha-Mynah</v>
      </c>
      <c r="C440" s="100" t="str">
        <f>IFERROR(__xludf.DUMMYFUNCTION("""COMPUTED_VALUE"""),"Machine")</f>
        <v>Machine</v>
      </c>
      <c r="D440" s="100">
        <f>IFERROR(__xludf.DUMMYFUNCTION("""COMPUTED_VALUE"""),1217.0)</f>
        <v>1217</v>
      </c>
      <c r="E440" s="100">
        <f>IFERROR(__xludf.DUMMYFUNCTION("""COMPUTED_VALUE"""),370.0)</f>
        <v>370</v>
      </c>
      <c r="F440" s="100" t="str">
        <f>IFERROR(__xludf.DUMMYFUNCTION("""COMPUTED_VALUE"""),"Copper Ore")</f>
        <v>Copper Ore</v>
      </c>
      <c r="G440" s="100" t="str">
        <f>IFERROR(__xludf.DUMMYFUNCTION("""COMPUTED_VALUE"""),"Chimaera Wing")</f>
        <v>Chimaera Wing</v>
      </c>
      <c r="H440" s="100" t="str">
        <f>IFERROR(__xludf.DUMMYFUNCTION("""COMPUTED_VALUE"""),"Heliodor Sewers, The Kingsbarrow")</f>
        <v>Heliodor Sewers, The Kingsbarrow</v>
      </c>
    </row>
    <row r="441">
      <c r="A441" s="95"/>
      <c r="B441" s="96" t="str">
        <f>IFERROR(__xludf.DUMMYFUNCTION("""COMPUTED_VALUE"""),"Tweedledoom")</f>
        <v>Tweedledoom</v>
      </c>
      <c r="C441" s="101" t="str">
        <f>IFERROR(__xludf.DUMMYFUNCTION("""COMPUTED_VALUE"""),"Demon")</f>
        <v>Demon</v>
      </c>
      <c r="D441" s="101">
        <f>IFERROR(__xludf.DUMMYFUNCTION("""COMPUTED_VALUE"""),7500.0)</f>
        <v>7500</v>
      </c>
      <c r="E441" s="101">
        <f>IFERROR(__xludf.DUMMYFUNCTION("""COMPUTED_VALUE"""),750.0)</f>
        <v>750</v>
      </c>
      <c r="F441" s="101" t="str">
        <f>IFERROR(__xludf.DUMMYFUNCTION("""COMPUTED_VALUE"""),"--")</f>
        <v>--</v>
      </c>
      <c r="G441" s="101" t="str">
        <f>IFERROR(__xludf.DUMMYFUNCTION("""COMPUTED_VALUE"""),"--")</f>
        <v>--</v>
      </c>
      <c r="H441" s="101" t="str">
        <f>IFERROR(__xludf.DUMMYFUNCTION("""COMPUTED_VALUE"""),"--")</f>
        <v>--</v>
      </c>
    </row>
    <row r="442">
      <c r="A442" s="92"/>
      <c r="B442" s="93" t="str">
        <f>IFERROR(__xludf.DUMMYFUNCTION("""COMPUTED_VALUE"""),"Tweedledeath")</f>
        <v>Tweedledeath</v>
      </c>
      <c r="C442" s="100" t="str">
        <f>IFERROR(__xludf.DUMMYFUNCTION("""COMPUTED_VALUE"""),"Demon")</f>
        <v>Demon</v>
      </c>
      <c r="D442" s="100">
        <f>IFERROR(__xludf.DUMMYFUNCTION("""COMPUTED_VALUE"""),7500.0)</f>
        <v>7500</v>
      </c>
      <c r="E442" s="100">
        <f>IFERROR(__xludf.DUMMYFUNCTION("""COMPUTED_VALUE"""),750.0)</f>
        <v>750</v>
      </c>
      <c r="F442" s="100" t="str">
        <f>IFERROR(__xludf.DUMMYFUNCTION("""COMPUTED_VALUE"""),"--")</f>
        <v>--</v>
      </c>
      <c r="G442" s="100" t="str">
        <f>IFERROR(__xludf.DUMMYFUNCTION("""COMPUTED_VALUE"""),"--")</f>
        <v>--</v>
      </c>
      <c r="H442" s="100" t="str">
        <f>IFERROR(__xludf.DUMMYFUNCTION("""COMPUTED_VALUE"""),"--")</f>
        <v>--</v>
      </c>
    </row>
    <row r="443">
      <c r="A443" s="95"/>
      <c r="B443" s="96" t="str">
        <f>IFERROR(__xludf.DUMMYFUNCTION("""COMPUTED_VALUE"""),"Malicious Bodkin Archer")</f>
        <v>Malicious Bodkin Archer</v>
      </c>
      <c r="C443" s="101" t="str">
        <f>IFERROR(__xludf.DUMMYFUNCTION("""COMPUTED_VALUE"""),"Humanoid")</f>
        <v>Humanoid</v>
      </c>
      <c r="D443" s="101">
        <f>IFERROR(__xludf.DUMMYFUNCTION("""COMPUTED_VALUE"""),845.0)</f>
        <v>845</v>
      </c>
      <c r="E443" s="101">
        <f>IFERROR(__xludf.DUMMYFUNCTION("""COMPUTED_VALUE"""),210.0)</f>
        <v>210</v>
      </c>
      <c r="F443" s="101" t="str">
        <f>IFERROR(__xludf.DUMMYFUNCTION("""COMPUTED_VALUE"""),"Plain Clothes")</f>
        <v>Plain Clothes</v>
      </c>
      <c r="G443" s="101" t="str">
        <f>IFERROR(__xludf.DUMMYFUNCTION("""COMPUTED_VALUE"""),"Leather Hat")</f>
        <v>Leather Hat</v>
      </c>
      <c r="H443" s="101" t="str">
        <f>IFERROR(__xludf.DUMMYFUNCTION("""COMPUTED_VALUE"""),"Heliodorian Foothills")</f>
        <v>Heliodorian Foothills</v>
      </c>
    </row>
    <row r="444">
      <c r="A444" s="92"/>
      <c r="B444" s="93" t="str">
        <f>IFERROR(__xludf.DUMMYFUNCTION("""COMPUTED_VALUE"""),"Malicious Hocus-Poker")</f>
        <v>Malicious Hocus-Poker</v>
      </c>
      <c r="C444" s="100" t="str">
        <f>IFERROR(__xludf.DUMMYFUNCTION("""COMPUTED_VALUE"""),"Humanoid")</f>
        <v>Humanoid</v>
      </c>
      <c r="D444" s="100">
        <f>IFERROR(__xludf.DUMMYFUNCTION("""COMPUTED_VALUE"""),1475.0)</f>
        <v>1475</v>
      </c>
      <c r="E444" s="100">
        <f>IFERROR(__xludf.DUMMYFUNCTION("""COMPUTED_VALUE"""),372.0)</f>
        <v>372</v>
      </c>
      <c r="F444" s="100" t="str">
        <f>IFERROR(__xludf.DUMMYFUNCTION("""COMPUTED_VALUE"""),"Magic Water")</f>
        <v>Magic Water</v>
      </c>
      <c r="G444" s="100" t="str">
        <f>IFERROR(__xludf.DUMMYFUNCTION("""COMPUTED_VALUE"""),"Tsunami Staff")</f>
        <v>Tsunami Staff</v>
      </c>
      <c r="H444" s="100" t="str">
        <f>IFERROR(__xludf.DUMMYFUNCTION("""COMPUTED_VALUE"""),"Heliodor Sewers")</f>
        <v>Heliodor Sewers</v>
      </c>
    </row>
    <row r="445">
      <c r="A445" s="95"/>
      <c r="B445" s="96" t="str">
        <f>IFERROR(__xludf.DUMMYFUNCTION("""COMPUTED_VALUE"""),"Malicious Lampling")</f>
        <v>Malicious Lampling</v>
      </c>
      <c r="C445" s="101" t="str">
        <f>IFERROR(__xludf.DUMMYFUNCTION("""COMPUTED_VALUE"""),"Material")</f>
        <v>Material</v>
      </c>
      <c r="D445" s="101">
        <f>IFERROR(__xludf.DUMMYFUNCTION("""COMPUTED_VALUE"""),1117.0)</f>
        <v>1117</v>
      </c>
      <c r="E445" s="101">
        <f>IFERROR(__xludf.DUMMYFUNCTION("""COMPUTED_VALUE"""),270.0)</f>
        <v>270</v>
      </c>
      <c r="F445" s="101" t="str">
        <f>IFERROR(__xludf.DUMMYFUNCTION("""COMPUTED_VALUE"""),"Single Phial")</f>
        <v>Single Phial</v>
      </c>
      <c r="G445" s="101" t="str">
        <f>IFERROR(__xludf.DUMMYFUNCTION("""COMPUTED_VALUE"""),"Lamplight")</f>
        <v>Lamplight</v>
      </c>
      <c r="H445" s="101" t="str">
        <f>IFERROR(__xludf.DUMMYFUNCTION("""COMPUTED_VALUE"""),"Heliodor Sewers")</f>
        <v>Heliodor Sewers</v>
      </c>
    </row>
    <row r="446">
      <c r="A446" s="92"/>
      <c r="B446" s="93" t="str">
        <f>IFERROR(__xludf.DUMMYFUNCTION("""COMPUTED_VALUE"""),"Malicious Brollyminator")</f>
        <v>Malicious Brollyminator</v>
      </c>
      <c r="C446" s="100" t="str">
        <f>IFERROR(__xludf.DUMMYFUNCTION("""COMPUTED_VALUE"""),"Material")</f>
        <v>Material</v>
      </c>
      <c r="D446" s="100">
        <f>IFERROR(__xludf.DUMMYFUNCTION("""COMPUTED_VALUE"""),1317.0)</f>
        <v>1317</v>
      </c>
      <c r="E446" s="100">
        <f>IFERROR(__xludf.DUMMYFUNCTION("""COMPUTED_VALUE"""),270.0)</f>
        <v>270</v>
      </c>
      <c r="F446" s="100" t="str">
        <f>IFERROR(__xludf.DUMMYFUNCTION("""COMPUTED_VALUE"""),"Waveweed")</f>
        <v>Waveweed</v>
      </c>
      <c r="G446" s="100" t="str">
        <f>IFERROR(__xludf.DUMMYFUNCTION("""COMPUTED_VALUE"""),"Jolly Brolly")</f>
        <v>Jolly Brolly</v>
      </c>
      <c r="H446" s="100" t="str">
        <f>IFERROR(__xludf.DUMMYFUNCTION("""COMPUTED_VALUE"""),"The Sea (Inner, Night)")</f>
        <v>The Sea (Inner, Night)</v>
      </c>
    </row>
    <row r="447">
      <c r="A447" s="95"/>
      <c r="B447" s="96" t="str">
        <f>IFERROR(__xludf.DUMMYFUNCTION("""COMPUTED_VALUE"""),"Malicious Drake Slime")</f>
        <v>Malicious Drake Slime</v>
      </c>
      <c r="C447" s="101" t="str">
        <f>IFERROR(__xludf.DUMMYFUNCTION("""COMPUTED_VALUE"""),"Slime")</f>
        <v>Slime</v>
      </c>
      <c r="D447" s="101">
        <f>IFERROR(__xludf.DUMMYFUNCTION("""COMPUTED_VALUE"""),1217.0)</f>
        <v>1217</v>
      </c>
      <c r="E447" s="101">
        <f>IFERROR(__xludf.DUMMYFUNCTION("""COMPUTED_VALUE"""),279.0)</f>
        <v>279</v>
      </c>
      <c r="F447" s="101" t="str">
        <f>IFERROR(__xludf.DUMMYFUNCTION("""COMPUTED_VALUE"""),"Small Scale")</f>
        <v>Small Scale</v>
      </c>
      <c r="G447" s="101" t="str">
        <f>IFERROR(__xludf.DUMMYFUNCTION("""COMPUTED_VALUE"""),"Dragon Hide")</f>
        <v>Dragon Hide</v>
      </c>
      <c r="H447" s="101" t="str">
        <f>IFERROR(__xludf.DUMMYFUNCTION("""COMPUTED_VALUE"""),"The Costa Valor, Insula Orientalis")</f>
        <v>The Costa Valor, Insula Orientalis</v>
      </c>
    </row>
    <row r="448">
      <c r="A448" s="98"/>
      <c r="B448" s="93" t="str">
        <f>IFERROR(__xludf.DUMMYFUNCTION("""COMPUTED_VALUE"""),"Malicious Handsome Crab")</f>
        <v>Malicious Handsome Crab</v>
      </c>
      <c r="C448" s="100" t="str">
        <f>IFERROR(__xludf.DUMMYFUNCTION("""COMPUTED_VALUE"""),"Nature")</f>
        <v>Nature</v>
      </c>
      <c r="D448" s="100">
        <f>IFERROR(__xludf.DUMMYFUNCTION("""COMPUTED_VALUE"""),1360.0)</f>
        <v>1360</v>
      </c>
      <c r="E448" s="100">
        <f>IFERROR(__xludf.DUMMYFUNCTION("""COMPUTED_VALUE"""),274.0)</f>
        <v>274</v>
      </c>
      <c r="F448" s="100" t="str">
        <f>IFERROR(__xludf.DUMMYFUNCTION("""COMPUTED_VALUE"""),"Blue Eye")</f>
        <v>Blue Eye</v>
      </c>
      <c r="G448" s="100" t="str">
        <f>IFERROR(__xludf.DUMMYFUNCTION("""COMPUTED_VALUE"""),"Dieamend")</f>
        <v>Dieamend</v>
      </c>
      <c r="H448" s="100" t="str">
        <f>IFERROR(__xludf.DUMMYFUNCTION("""COMPUTED_VALUE"""),"The Sea (Inner, Night)")</f>
        <v>The Sea (Inner, Night)</v>
      </c>
    </row>
    <row r="449">
      <c r="A449" s="107" t="str">
        <f>IFERROR(__xludf.DUMMYFUNCTION("""COMPUTED_VALUE"""),"P23")</f>
        <v>P23</v>
      </c>
      <c r="B449" s="108" t="str">
        <f>IFERROR(__xludf.DUMMYFUNCTION("""COMPUTED_VALUE"""),"Malicious Mermaniac")</f>
        <v>Malicious Mermaniac</v>
      </c>
      <c r="C449" s="109" t="str">
        <f>IFERROR(__xludf.DUMMYFUNCTION("""COMPUTED_VALUE"""),"Nature")</f>
        <v>Nature</v>
      </c>
      <c r="D449" s="109">
        <f>IFERROR(__xludf.DUMMYFUNCTION("""COMPUTED_VALUE"""),1503.0)</f>
        <v>1503</v>
      </c>
      <c r="E449" s="109">
        <f>IFERROR(__xludf.DUMMYFUNCTION("""COMPUTED_VALUE"""),304.0)</f>
        <v>304</v>
      </c>
      <c r="F449" s="109" t="str">
        <f>IFERROR(__xludf.DUMMYFUNCTION("""COMPUTED_VALUE"""),"Pitch Pearl")</f>
        <v>Pitch Pearl</v>
      </c>
      <c r="G449" s="109" t="str">
        <f>IFERROR(__xludf.DUMMYFUNCTION("""COMPUTED_VALUE"""),"Tortoise Shell")</f>
        <v>Tortoise Shell</v>
      </c>
      <c r="H449" s="109" t="str">
        <f>IFERROR(__xludf.DUMMYFUNCTION("""COMPUTED_VALUE"""),"The Sea (Inner)")</f>
        <v>The Sea (Inner)</v>
      </c>
    </row>
    <row r="450">
      <c r="A450" s="92"/>
      <c r="B450" s="110" t="str">
        <f>IFERROR(__xludf.DUMMYFUNCTION("""COMPUTED_VALUE"""),"Malicious Wizened Wizard")</f>
        <v>Malicious Wizened Wizard</v>
      </c>
      <c r="C450" s="111" t="str">
        <f>IFERROR(__xludf.DUMMYFUNCTION("""COMPUTED_VALUE"""),"Humanoid")</f>
        <v>Humanoid</v>
      </c>
      <c r="D450" s="111">
        <f>IFERROR(__xludf.DUMMYFUNCTION("""COMPUTED_VALUE"""),1321.0)</f>
        <v>1321</v>
      </c>
      <c r="E450" s="111">
        <f>IFERROR(__xludf.DUMMYFUNCTION("""COMPUTED_VALUE"""),276.0)</f>
        <v>276</v>
      </c>
      <c r="F450" s="111" t="str">
        <f>IFERROR(__xludf.DUMMYFUNCTION("""COMPUTED_VALUE"""),"Magic Water")</f>
        <v>Magic Water</v>
      </c>
      <c r="G450" s="111" t="str">
        <f>IFERROR(__xludf.DUMMYFUNCTION("""COMPUTED_VALUE"""),"Silk Robe")</f>
        <v>Silk Robe</v>
      </c>
      <c r="H450" s="111" t="str">
        <f>IFERROR(__xludf.DUMMYFUNCTION("""COMPUTED_VALUE"""),"The Sea (Inner)")</f>
        <v>The Sea (Inner)</v>
      </c>
    </row>
    <row r="451">
      <c r="A451" s="95"/>
      <c r="B451" s="108" t="str">
        <f>IFERROR(__xludf.DUMMYFUNCTION("""COMPUTED_VALUE"""),"Malicious Hood")</f>
        <v>Malicious Hood</v>
      </c>
      <c r="C451" s="109" t="str">
        <f>IFERROR(__xludf.DUMMYFUNCTION("""COMPUTED_VALUE"""),"Humanoid")</f>
        <v>Humanoid</v>
      </c>
      <c r="D451" s="109">
        <f>IFERROR(__xludf.DUMMYFUNCTION("""COMPUTED_VALUE"""),1489.0)</f>
        <v>1489</v>
      </c>
      <c r="E451" s="109">
        <f>IFERROR(__xludf.DUMMYFUNCTION("""COMPUTED_VALUE"""),405.0)</f>
        <v>405</v>
      </c>
      <c r="F451" s="109" t="str">
        <f>IFERROR(__xludf.DUMMYFUNCTION("""COMPUTED_VALUE"""),"Boxer Shorts")</f>
        <v>Boxer Shorts</v>
      </c>
      <c r="G451" s="109" t="str">
        <f>IFERROR(__xludf.DUMMYFUNCTION("""COMPUTED_VALUE"""),"Leather Cape")</f>
        <v>Leather Cape</v>
      </c>
      <c r="H451" s="109" t="str">
        <f>IFERROR(__xludf.DUMMYFUNCTION("""COMPUTED_VALUE"""),"Insula Australis")</f>
        <v>Insula Australis</v>
      </c>
    </row>
    <row r="452">
      <c r="A452" s="92"/>
      <c r="B452" s="110" t="str">
        <f>IFERROR(__xludf.DUMMYFUNCTION("""COMPUTED_VALUE"""),"Grey Gordon")</f>
        <v>Grey Gordon</v>
      </c>
      <c r="C452" s="111" t="str">
        <f>IFERROR(__xludf.DUMMYFUNCTION("""COMPUTED_VALUE"""),"Humanoid")</f>
        <v>Humanoid</v>
      </c>
      <c r="D452" s="111">
        <f>IFERROR(__xludf.DUMMYFUNCTION("""COMPUTED_VALUE"""),1600.0)</f>
        <v>1600</v>
      </c>
      <c r="E452" s="111">
        <f>IFERROR(__xludf.DUMMYFUNCTION("""COMPUTED_VALUE"""),360.0)</f>
        <v>360</v>
      </c>
      <c r="F452" s="111" t="str">
        <f>IFERROR(__xludf.DUMMYFUNCTION("""COMPUTED_VALUE"""),"Dancer's Costume")</f>
        <v>Dancer's Costume</v>
      </c>
      <c r="G452" s="111" t="str">
        <f>IFERROR(__xludf.DUMMYFUNCTION("""COMPUTED_VALUE"""),"Get-up-and-Glow Stick")</f>
        <v>Get-up-and-Glow Stick</v>
      </c>
      <c r="H452" s="111" t="str">
        <f>IFERROR(__xludf.DUMMYFUNCTION("""COMPUTED_VALUE"""),"Insula Australis, The Sea (Outer - South)")</f>
        <v>Insula Australis, The Sea (Outer - South)</v>
      </c>
    </row>
    <row r="453">
      <c r="A453" s="95"/>
      <c r="B453" s="108" t="str">
        <f>IFERROR(__xludf.DUMMYFUNCTION("""COMPUTED_VALUE"""),"Malicious Night Clubber")</f>
        <v>Malicious Night Clubber</v>
      </c>
      <c r="C453" s="109" t="str">
        <f>IFERROR(__xludf.DUMMYFUNCTION("""COMPUTED_VALUE"""),"Dragon")</f>
        <v>Dragon</v>
      </c>
      <c r="D453" s="109">
        <f>IFERROR(__xludf.DUMMYFUNCTION("""COMPUTED_VALUE"""),3440.0)</f>
        <v>3440</v>
      </c>
      <c r="E453" s="109">
        <f>IFERROR(__xludf.DUMMYFUNCTION("""COMPUTED_VALUE"""),507.0)</f>
        <v>507</v>
      </c>
      <c r="F453" s="109" t="str">
        <f>IFERROR(__xludf.DUMMYFUNCTION("""COMPUTED_VALUE"""),"Serpent's Soul")</f>
        <v>Serpent's Soul</v>
      </c>
      <c r="G453" s="109" t="str">
        <f>IFERROR(__xludf.DUMMYFUNCTION("""COMPUTED_VALUE"""),"Seed of Strength")</f>
        <v>Seed of Strength</v>
      </c>
      <c r="H453" s="109" t="str">
        <f>IFERROR(__xludf.DUMMYFUNCTION("""COMPUTED_VALUE"""),"Zwaardsrust Region, Insula Incognita")</f>
        <v>Zwaardsrust Region, Insula Incognita</v>
      </c>
    </row>
    <row r="454">
      <c r="A454" s="92"/>
      <c r="B454" s="110" t="str">
        <f>IFERROR(__xludf.DUMMYFUNCTION("""COMPUTED_VALUE"""),"Dark Gryphon")</f>
        <v>Dark Gryphon</v>
      </c>
      <c r="C454" s="111" t="str">
        <f>IFERROR(__xludf.DUMMYFUNCTION("""COMPUTED_VALUE"""),"Bird")</f>
        <v>Bird</v>
      </c>
      <c r="D454" s="111">
        <f>IFERROR(__xludf.DUMMYFUNCTION("""COMPUTED_VALUE"""),1531.0)</f>
        <v>1531</v>
      </c>
      <c r="E454" s="111">
        <f>IFERROR(__xludf.DUMMYFUNCTION("""COMPUTED_VALUE"""),340.0)</f>
        <v>340</v>
      </c>
      <c r="F454" s="111" t="str">
        <f>IFERROR(__xludf.DUMMYFUNCTION("""COMPUTED_VALUE"""),"Saint's Ashes")</f>
        <v>Saint's Ashes</v>
      </c>
      <c r="G454" s="111" t="str">
        <f>IFERROR(__xludf.DUMMYFUNCTION("""COMPUTED_VALUE"""),"Monster Slashes")</f>
        <v>Monster Slashes</v>
      </c>
      <c r="H454" s="111" t="str">
        <f>IFERROR(__xludf.DUMMYFUNCTION("""COMPUTED_VALUE"""),"Zwaardsrust Region (Night), Dundrasil Region")</f>
        <v>Zwaardsrust Region (Night), Dundrasil Region</v>
      </c>
    </row>
    <row r="455">
      <c r="A455" s="95"/>
      <c r="B455" s="108" t="str">
        <f>IFERROR(__xludf.DUMMYFUNCTION("""COMPUTED_VALUE"""),"Malicious Weartiger")</f>
        <v>Malicious Weartiger</v>
      </c>
      <c r="C455" s="109" t="str">
        <f>IFERROR(__xludf.DUMMYFUNCTION("""COMPUTED_VALUE"""),"Humanoid")</f>
        <v>Humanoid</v>
      </c>
      <c r="D455" s="109">
        <f>IFERROR(__xludf.DUMMYFUNCTION("""COMPUTED_VALUE"""),1329.0)</f>
        <v>1329</v>
      </c>
      <c r="E455" s="109">
        <f>IFERROR(__xludf.DUMMYFUNCTION("""COMPUTED_VALUE"""),416.0)</f>
        <v>416</v>
      </c>
      <c r="F455" s="109" t="str">
        <f>IFERROR(__xludf.DUMMYFUNCTION("""COMPUTED_VALUE"""),"Kitty Litter")</f>
        <v>Kitty Litter</v>
      </c>
      <c r="G455" s="109" t="str">
        <f>IFERROR(__xludf.DUMMYFUNCTION("""COMPUTED_VALUE"""),"Cat Hat")</f>
        <v>Cat Hat</v>
      </c>
      <c r="H455" s="109" t="str">
        <f>IFERROR(__xludf.DUMMYFUNCTION("""COMPUTED_VALUE"""),"Zwaardsrust Region")</f>
        <v>Zwaardsrust Region</v>
      </c>
    </row>
    <row r="456">
      <c r="A456" s="92"/>
      <c r="B456" s="110" t="str">
        <f>IFERROR(__xludf.DUMMYFUNCTION("""COMPUTED_VALUE"""),"Malicious Brollygagger")</f>
        <v>Malicious Brollygagger</v>
      </c>
      <c r="C456" s="111" t="str">
        <f>IFERROR(__xludf.DUMMYFUNCTION("""COMPUTED_VALUE"""),"Material")</f>
        <v>Material</v>
      </c>
      <c r="D456" s="111">
        <f>IFERROR(__xludf.DUMMYFUNCTION("""COMPUTED_VALUE"""),1580.0)</f>
        <v>1580</v>
      </c>
      <c r="E456" s="111">
        <f>IFERROR(__xludf.DUMMYFUNCTION("""COMPUTED_VALUE"""),424.0)</f>
        <v>424</v>
      </c>
      <c r="F456" s="111" t="str">
        <f>IFERROR(__xludf.DUMMYFUNCTION("""COMPUTED_VALUE"""),"Evencloth")</f>
        <v>Evencloth</v>
      </c>
      <c r="G456" s="111" t="str">
        <f>IFERROR(__xludf.DUMMYFUNCTION("""COMPUTED_VALUE"""),"Jolly Brolly")</f>
        <v>Jolly Brolly</v>
      </c>
      <c r="H456" s="111" t="str">
        <f>IFERROR(__xludf.DUMMYFUNCTION("""COMPUTED_VALUE"""),"Zwaardsrust Region (Rain), The Champs Sauvage")</f>
        <v>Zwaardsrust Region (Rain), The Champs Sauvage</v>
      </c>
    </row>
    <row r="457">
      <c r="A457" s="95"/>
      <c r="B457" s="108" t="str">
        <f>IFERROR(__xludf.DUMMYFUNCTION("""COMPUTED_VALUE"""),"Malicious Masqueraider")</f>
        <v>Malicious Masqueraider</v>
      </c>
      <c r="C457" s="109" t="str">
        <f>IFERROR(__xludf.DUMMYFUNCTION("""COMPUTED_VALUE"""),"Machine")</f>
        <v>Machine</v>
      </c>
      <c r="D457" s="109">
        <f>IFERROR(__xludf.DUMMYFUNCTION("""COMPUTED_VALUE"""),1488.0)</f>
        <v>1488</v>
      </c>
      <c r="E457" s="109">
        <f>IFERROR(__xludf.DUMMYFUNCTION("""COMPUTED_VALUE"""),308.0)</f>
        <v>308</v>
      </c>
      <c r="F457" s="109" t="str">
        <f>IFERROR(__xludf.DUMMYFUNCTION("""COMPUTED_VALUE"""),"Mythril Ore")</f>
        <v>Mythril Ore</v>
      </c>
      <c r="G457" s="109" t="str">
        <f>IFERROR(__xludf.DUMMYFUNCTION("""COMPUTED_VALUE"""),"Savvy Sapphire")</f>
        <v>Savvy Sapphire</v>
      </c>
      <c r="H457" s="109" t="str">
        <f>IFERROR(__xludf.DUMMYFUNCTION("""COMPUTED_VALUE"""),"Zwaardsrust Region, The Snaerfelt")</f>
        <v>Zwaardsrust Region, The Snaerfelt</v>
      </c>
    </row>
    <row r="458">
      <c r="A458" s="92"/>
      <c r="B458" s="110" t="str">
        <f>IFERROR(__xludf.DUMMYFUNCTION("""COMPUTED_VALUE"""),"Malicious Stone Golem")</f>
        <v>Malicious Stone Golem</v>
      </c>
      <c r="C458" s="111" t="str">
        <f>IFERROR(__xludf.DUMMYFUNCTION("""COMPUTED_VALUE"""),"Material")</f>
        <v>Material</v>
      </c>
      <c r="D458" s="111">
        <f>IFERROR(__xludf.DUMMYFUNCTION("""COMPUTED_VALUE"""),1887.0)</f>
        <v>1887</v>
      </c>
      <c r="E458" s="111">
        <f>IFERROR(__xludf.DUMMYFUNCTION("""COMPUTED_VALUE"""),307.0)</f>
        <v>307</v>
      </c>
      <c r="F458" s="111" t="str">
        <f>IFERROR(__xludf.DUMMYFUNCTION("""COMPUTED_VALUE"""),"Flintstone")</f>
        <v>Flintstone</v>
      </c>
      <c r="G458" s="111" t="str">
        <f>IFERROR(__xludf.DUMMYFUNCTION("""COMPUTED_VALUE"""),"Mirrorstone")</f>
        <v>Mirrorstone</v>
      </c>
      <c r="H458" s="111" t="str">
        <f>IFERROR(__xludf.DUMMYFUNCTION("""COMPUTED_VALUE"""),"Zwaardsrust Region")</f>
        <v>Zwaardsrust Region</v>
      </c>
    </row>
    <row r="459">
      <c r="A459" s="95"/>
      <c r="B459" s="108" t="str">
        <f>IFERROR(__xludf.DUMMYFUNCTION("""COMPUTED_VALUE"""),"Malicious Deadnaut")</f>
        <v>Malicious Deadnaut</v>
      </c>
      <c r="C459" s="109" t="str">
        <f>IFERROR(__xludf.DUMMYFUNCTION("""COMPUTED_VALUE"""),"Undead")</f>
        <v>Undead</v>
      </c>
      <c r="D459" s="109">
        <f>IFERROR(__xludf.DUMMYFUNCTION("""COMPUTED_VALUE"""),1259.0)</f>
        <v>1259</v>
      </c>
      <c r="E459" s="109">
        <f>IFERROR(__xludf.DUMMYFUNCTION("""COMPUTED_VALUE"""),302.0)</f>
        <v>302</v>
      </c>
      <c r="F459" s="109" t="str">
        <f>IFERROR(__xludf.DUMMYFUNCTION("""COMPUTED_VALUE"""),"Big Bone")</f>
        <v>Big Bone</v>
      </c>
      <c r="G459" s="109" t="str">
        <f>IFERROR(__xludf.DUMMYFUNCTION("""COMPUTED_VALUE"""),"Steel Helmet")</f>
        <v>Steel Helmet</v>
      </c>
      <c r="H459" s="109" t="str">
        <f>IFERROR(__xludf.DUMMYFUNCTION("""COMPUTED_VALUE"""),"Zwaardsrust Region, Caverns Under Octagonia")</f>
        <v>Zwaardsrust Region, Caverns Under Octagonia</v>
      </c>
    </row>
    <row r="460">
      <c r="A460" s="92"/>
      <c r="B460" s="110" t="str">
        <f>IFERROR(__xludf.DUMMYFUNCTION("""COMPUTED_VALUE"""),"Stout Troll")</f>
        <v>Stout Troll</v>
      </c>
      <c r="C460" s="111" t="str">
        <f>IFERROR(__xludf.DUMMYFUNCTION("""COMPUTED_VALUE"""),"Demon")</f>
        <v>Demon</v>
      </c>
      <c r="D460" s="111">
        <f>IFERROR(__xludf.DUMMYFUNCTION("""COMPUTED_VALUE"""),3012.0)</f>
        <v>3012</v>
      </c>
      <c r="E460" s="111">
        <f>IFERROR(__xludf.DUMMYFUNCTION("""COMPUTED_VALUE"""),479.0)</f>
        <v>479</v>
      </c>
      <c r="F460" s="111" t="str">
        <f>IFERROR(__xludf.DUMMYFUNCTION("""COMPUTED_VALUE"""),"Wyrmwood")</f>
        <v>Wyrmwood</v>
      </c>
      <c r="G460" s="111" t="str">
        <f>IFERROR(__xludf.DUMMYFUNCTION("""COMPUTED_VALUE"""),"Seed of Strength")</f>
        <v>Seed of Strength</v>
      </c>
      <c r="H460" s="111" t="str">
        <f>IFERROR(__xludf.DUMMYFUNCTION("""COMPUTED_VALUE"""),"Zwaardsrust Region, Dundrasil Region")</f>
        <v>Zwaardsrust Region, Dundrasil Region</v>
      </c>
    </row>
    <row r="461">
      <c r="A461" s="95"/>
      <c r="B461" s="108" t="str">
        <f>IFERROR(__xludf.DUMMYFUNCTION("""COMPUTED_VALUE"""),"Noble Dragon")</f>
        <v>Noble Dragon</v>
      </c>
      <c r="C461" s="109" t="str">
        <f>IFERROR(__xludf.DUMMYFUNCTION("""COMPUTED_VALUE"""),"Dragon")</f>
        <v>Dragon</v>
      </c>
      <c r="D461" s="109">
        <f>IFERROR(__xludf.DUMMYFUNCTION("""COMPUTED_VALUE"""),3220.0)</f>
        <v>3220</v>
      </c>
      <c r="E461" s="109">
        <f>IFERROR(__xludf.DUMMYFUNCTION("""COMPUTED_VALUE"""),530.0)</f>
        <v>530</v>
      </c>
      <c r="F461" s="109" t="str">
        <f>IFERROR(__xludf.DUMMYFUNCTION("""COMPUTED_VALUE"""),"Spectralite")</f>
        <v>Spectralite</v>
      </c>
      <c r="G461" s="109" t="str">
        <f>IFERROR(__xludf.DUMMYFUNCTION("""COMPUTED_VALUE"""),"Shamshir of Light")</f>
        <v>Shamshir of Light</v>
      </c>
      <c r="H461" s="109" t="str">
        <f>IFERROR(__xludf.DUMMYFUNCTION("""COMPUTED_VALUE"""),"Drustan's Labyrinth - Trial Isle, Sage's Trial - Fierce Forest")</f>
        <v>Drustan's Labyrinth - Trial Isle, Sage's Trial - Fierce Forest</v>
      </c>
    </row>
    <row r="462">
      <c r="A462" s="92"/>
      <c r="B462" s="110" t="str">
        <f>IFERROR(__xludf.DUMMYFUNCTION("""COMPUTED_VALUE"""),"Hooperman")</f>
        <v>Hooperman</v>
      </c>
      <c r="C462" s="111" t="str">
        <f>IFERROR(__xludf.DUMMYFUNCTION("""COMPUTED_VALUE"""),"Demon")</f>
        <v>Demon</v>
      </c>
      <c r="D462" s="111">
        <f>IFERROR(__xludf.DUMMYFUNCTION("""COMPUTED_VALUE"""),202.0)</f>
        <v>202</v>
      </c>
      <c r="E462" s="111">
        <f>IFERROR(__xludf.DUMMYFUNCTION("""COMPUTED_VALUE"""),710.0)</f>
        <v>710</v>
      </c>
      <c r="F462" s="111" t="str">
        <f>IFERROR(__xludf.DUMMYFUNCTION("""COMPUTED_VALUE"""),"Agate of Evolution")</f>
        <v>Agate of Evolution</v>
      </c>
      <c r="G462" s="111" t="str">
        <f>IFERROR(__xludf.DUMMYFUNCTION("""COMPUTED_VALUE"""),"Chronocrystal")</f>
        <v>Chronocrystal</v>
      </c>
      <c r="H462" s="111" t="str">
        <f>IFERROR(__xludf.DUMMYFUNCTION("""COMPUTED_VALUE"""),"Drustan's Labyrinth - Trial Isle")</f>
        <v>Drustan's Labyrinth - Trial Isle</v>
      </c>
    </row>
    <row r="463">
      <c r="A463" s="95"/>
      <c r="B463" s="108" t="str">
        <f>IFERROR(__xludf.DUMMYFUNCTION("""COMPUTED_VALUE"""),"Vicious Silver Sabrecat")</f>
        <v>Vicious Silver Sabrecat</v>
      </c>
      <c r="C463" s="109" t="str">
        <f>IFERROR(__xludf.DUMMYFUNCTION("""COMPUTED_VALUE"""),"Beast")</f>
        <v>Beast</v>
      </c>
      <c r="D463" s="109">
        <f>IFERROR(__xludf.DUMMYFUNCTION("""COMPUTED_VALUE"""),1544.0)</f>
        <v>1544</v>
      </c>
      <c r="E463" s="109">
        <f>IFERROR(__xludf.DUMMYFUNCTION("""COMPUTED_VALUE"""),312.0)</f>
        <v>312</v>
      </c>
      <c r="F463" s="109" t="str">
        <f>IFERROR(__xludf.DUMMYFUNCTION("""COMPUTED_VALUE"""),"Fine Fur")</f>
        <v>Fine Fur</v>
      </c>
      <c r="G463" s="109" t="str">
        <f>IFERROR(__xludf.DUMMYFUNCTION("""COMPUTED_VALUE"""),"Twisted Talon")</f>
        <v>Twisted Talon</v>
      </c>
      <c r="H463" s="109" t="str">
        <f>IFERROR(__xludf.DUMMYFUNCTION("""COMPUTED_VALUE"""),"Drustan's Labyrinth - Trial Isle (Day)")</f>
        <v>Drustan's Labyrinth - Trial Isle (Day)</v>
      </c>
    </row>
    <row r="464">
      <c r="A464" s="92"/>
      <c r="B464" s="110" t="str">
        <f>IFERROR(__xludf.DUMMYFUNCTION("""COMPUTED_VALUE"""),"Vicious Terrornodon")</f>
        <v>Vicious Terrornodon</v>
      </c>
      <c r="C464" s="111" t="str">
        <f>IFERROR(__xludf.DUMMYFUNCTION("""COMPUTED_VALUE"""),"Bird")</f>
        <v>Bird</v>
      </c>
      <c r="D464" s="111">
        <f>IFERROR(__xludf.DUMMYFUNCTION("""COMPUTED_VALUE"""),1346.0)</f>
        <v>1346</v>
      </c>
      <c r="E464" s="111">
        <f>IFERROR(__xludf.DUMMYFUNCTION("""COMPUTED_VALUE"""),206.0)</f>
        <v>206</v>
      </c>
      <c r="F464" s="111" t="str">
        <f>IFERROR(__xludf.DUMMYFUNCTION("""COMPUTED_VALUE"""),"Twisted Talons")</f>
        <v>Twisted Talons</v>
      </c>
      <c r="G464" s="111" t="str">
        <f>IFERROR(__xludf.DUMMYFUNCTION("""COMPUTED_VALUE"""),"Seed of Magic")</f>
        <v>Seed of Magic</v>
      </c>
      <c r="H464" s="111" t="str">
        <f>IFERROR(__xludf.DUMMYFUNCTION("""COMPUTED_VALUE"""),"Drustan's Labyrinth - Trial Isle (Day)")</f>
        <v>Drustan's Labyrinth - Trial Isle (Day)</v>
      </c>
    </row>
    <row r="465">
      <c r="A465" s="95"/>
      <c r="B465" s="108" t="str">
        <f>IFERROR(__xludf.DUMMYFUNCTION("""COMPUTED_VALUE"""),"Vicious Dullahan")</f>
        <v>Vicious Dullahan</v>
      </c>
      <c r="C465" s="109" t="str">
        <f>IFERROR(__xludf.DUMMYFUNCTION("""COMPUTED_VALUE"""),"Undead")</f>
        <v>Undead</v>
      </c>
      <c r="D465" s="109">
        <f>IFERROR(__xludf.DUMMYFUNCTION("""COMPUTED_VALUE"""),1528.0)</f>
        <v>1528</v>
      </c>
      <c r="E465" s="109">
        <f>IFERROR(__xludf.DUMMYFUNCTION("""COMPUTED_VALUE"""),325.0)</f>
        <v>325</v>
      </c>
      <c r="F465" s="109" t="str">
        <f>IFERROR(__xludf.DUMMYFUNCTION("""COMPUTED_VALUE"""),"Leather Cape")</f>
        <v>Leather Cape</v>
      </c>
      <c r="G465" s="109" t="str">
        <f>IFERROR(__xludf.DUMMYFUNCTION("""COMPUTED_VALUE"""),"Platinum Shield")</f>
        <v>Platinum Shield</v>
      </c>
      <c r="H465" s="109" t="str">
        <f>IFERROR(__xludf.DUMMYFUNCTION("""COMPUTED_VALUE"""),"Drustan's Labyrinth - Trial Isle (Night)")</f>
        <v>Drustan's Labyrinth - Trial Isle (Night)</v>
      </c>
    </row>
    <row r="466">
      <c r="A466" s="92"/>
      <c r="B466" s="110" t="str">
        <f>IFERROR(__xludf.DUMMYFUNCTION("""COMPUTED_VALUE"""),"Vicious Headless Horseman")</f>
        <v>Vicious Headless Horseman</v>
      </c>
      <c r="C466" s="111" t="str">
        <f>IFERROR(__xludf.DUMMYFUNCTION("""COMPUTED_VALUE"""),"Undead")</f>
        <v>Undead</v>
      </c>
      <c r="D466" s="111">
        <f>IFERROR(__xludf.DUMMYFUNCTION("""COMPUTED_VALUE"""),1629.0)</f>
        <v>1629</v>
      </c>
      <c r="E466" s="111">
        <f>IFERROR(__xludf.DUMMYFUNCTION("""COMPUTED_VALUE"""),416.0)</f>
        <v>416</v>
      </c>
      <c r="F466" s="111" t="str">
        <f>IFERROR(__xludf.DUMMYFUNCTION("""COMPUTED_VALUE"""),"Equable Emerald")</f>
        <v>Equable Emerald</v>
      </c>
      <c r="G466" s="111" t="str">
        <f>IFERROR(__xludf.DUMMYFUNCTION("""COMPUTED_VALUE"""),"Platinum Shield")</f>
        <v>Platinum Shield</v>
      </c>
      <c r="H466" s="111" t="str">
        <f>IFERROR(__xludf.DUMMYFUNCTION("""COMPUTED_VALUE"""),"Drustan's Labyrinth - Trial Isle (Night)")</f>
        <v>Drustan's Labyrinth - Trial Isle (Night)</v>
      </c>
    </row>
    <row r="467">
      <c r="A467" s="95"/>
      <c r="B467" s="108" t="str">
        <f>IFERROR(__xludf.DUMMYFUNCTION("""COMPUTED_VALUE"""),"Vicious Metal Dragon Slime")</f>
        <v>Vicious Metal Dragon Slime</v>
      </c>
      <c r="C467" s="109" t="str">
        <f>IFERROR(__xludf.DUMMYFUNCTION("""COMPUTED_VALUE"""),"Slime")</f>
        <v>Slime</v>
      </c>
      <c r="D467" s="109">
        <f>IFERROR(__xludf.DUMMYFUNCTION("""COMPUTED_VALUE"""),1343.0)</f>
        <v>1343</v>
      </c>
      <c r="E467" s="109">
        <f>IFERROR(__xludf.DUMMYFUNCTION("""COMPUTED_VALUE"""),305.0)</f>
        <v>305</v>
      </c>
      <c r="F467" s="109" t="str">
        <f>IFERROR(__xludf.DUMMYFUNCTION("""COMPUTED_VALUE"""),"Molten Globules")</f>
        <v>Molten Globules</v>
      </c>
      <c r="G467" s="109" t="str">
        <f>IFERROR(__xludf.DUMMYFUNCTION("""COMPUTED_VALUE"""),"Platinum Headgear")</f>
        <v>Platinum Headgear</v>
      </c>
      <c r="H467" s="109" t="str">
        <f>IFERROR(__xludf.DUMMYFUNCTION("""COMPUTED_VALUE"""),"Drustan's Labyrinth - Trial Isle (Night)")</f>
        <v>Drustan's Labyrinth - Trial Isle (Night)</v>
      </c>
    </row>
    <row r="468">
      <c r="A468" s="98"/>
      <c r="B468" s="110" t="str">
        <f>IFERROR(__xludf.DUMMYFUNCTION("""COMPUTED_VALUE"""),"Vicious Snowgre")</f>
        <v>Vicious Snowgre</v>
      </c>
      <c r="C468" s="111" t="str">
        <f>IFERROR(__xludf.DUMMYFUNCTION("""COMPUTED_VALUE"""),"Material")</f>
        <v>Material</v>
      </c>
      <c r="D468" s="111">
        <f>IFERROR(__xludf.DUMMYFUNCTION("""COMPUTED_VALUE"""),1731.0)</f>
        <v>1731</v>
      </c>
      <c r="E468" s="111">
        <f>IFERROR(__xludf.DUMMYFUNCTION("""COMPUTED_VALUE"""),387.0)</f>
        <v>387</v>
      </c>
      <c r="F468" s="111" t="str">
        <f>IFERROR(__xludf.DUMMYFUNCTION("""COMPUTED_VALUE"""),"Brighten Rock")</f>
        <v>Brighten Rock</v>
      </c>
      <c r="G468" s="111" t="str">
        <f>IFERROR(__xludf.DUMMYFUNCTION("""COMPUTED_VALUE"""),"Ice Shield")</f>
        <v>Ice Shield</v>
      </c>
      <c r="H468" s="111" t="str">
        <f>IFERROR(__xludf.DUMMYFUNCTION("""COMPUTED_VALUE"""),"Drustan's Labyrinth - Trial Isle (Night)")</f>
        <v>Drustan's Labyrinth - Trial Isle (Night)</v>
      </c>
    </row>
    <row r="469">
      <c r="A469" s="107" t="str">
        <f>IFERROR(__xludf.DUMMYFUNCTION("""COMPUTED_VALUE"""),"P24")</f>
        <v>P24</v>
      </c>
      <c r="B469" s="108" t="str">
        <f>IFERROR(__xludf.DUMMYFUNCTION("""COMPUTED_VALUE"""),"Vicious Gigantes")</f>
        <v>Vicious Gigantes</v>
      </c>
      <c r="C469" s="109" t="str">
        <f>IFERROR(__xludf.DUMMYFUNCTION("""COMPUTED_VALUE"""),"Demon")</f>
        <v>Demon</v>
      </c>
      <c r="D469" s="109">
        <f>IFERROR(__xludf.DUMMYFUNCTION("""COMPUTED_VALUE"""),3528.0)</f>
        <v>3528</v>
      </c>
      <c r="E469" s="109">
        <f>IFERROR(__xludf.DUMMYFUNCTION("""COMPUTED_VALUE"""),486.0)</f>
        <v>486</v>
      </c>
      <c r="F469" s="109" t="str">
        <f>IFERROR(__xludf.DUMMYFUNCTION("""COMPUTED_VALUE"""),"Strength Ring")</f>
        <v>Strength Ring</v>
      </c>
      <c r="G469" s="109" t="str">
        <f>IFERROR(__xludf.DUMMYFUNCTION("""COMPUTED_VALUE"""),"Elfin Elixir")</f>
        <v>Elfin Elixir</v>
      </c>
      <c r="H469" s="109" t="str">
        <f>IFERROR(__xludf.DUMMYFUNCTION("""COMPUTED_VALUE"""),"Drustan's Labyrinth - Trial Isle (Night)")</f>
        <v>Drustan's Labyrinth - Trial Isle (Night)</v>
      </c>
    </row>
    <row r="470">
      <c r="A470" s="92"/>
      <c r="B470" s="110" t="str">
        <f>IFERROR(__xludf.DUMMYFUNCTION("""COMPUTED_VALUE"""),"Vicious Brollygarch")</f>
        <v>Vicious Brollygarch</v>
      </c>
      <c r="C470" s="111" t="str">
        <f>IFERROR(__xludf.DUMMYFUNCTION("""COMPUTED_VALUE"""),"Material")</f>
        <v>Material</v>
      </c>
      <c r="D470" s="111">
        <f>IFERROR(__xludf.DUMMYFUNCTION("""COMPUTED_VALUE"""),1438.0)</f>
        <v>1438</v>
      </c>
      <c r="E470" s="111">
        <f>IFERROR(__xludf.DUMMYFUNCTION("""COMPUTED_VALUE"""),373.0)</f>
        <v>373</v>
      </c>
      <c r="F470" s="111" t="str">
        <f>IFERROR(__xludf.DUMMYFUNCTION("""COMPUTED_VALUE"""),"Cherry Blossom Petal")</f>
        <v>Cherry Blossom Petal</v>
      </c>
      <c r="G470" s="111" t="str">
        <f>IFERROR(__xludf.DUMMYFUNCTION("""COMPUTED_VALUE"""),"Glumbrella")</f>
        <v>Glumbrella</v>
      </c>
      <c r="H470" s="111" t="str">
        <f>IFERROR(__xludf.DUMMYFUNCTION("""COMPUTED_VALUE"""),"Drustan's Labyrinth - Trial Isle (Night)")</f>
        <v>Drustan's Labyrinth - Trial Isle (Night)</v>
      </c>
    </row>
    <row r="471">
      <c r="A471" s="95"/>
      <c r="B471" s="108" t="str">
        <f>IFERROR(__xludf.DUMMYFUNCTION("""COMPUTED_VALUE"""),"Vicious Steel Siren")</f>
        <v>Vicious Steel Siren</v>
      </c>
      <c r="C471" s="109" t="str">
        <f>IFERROR(__xludf.DUMMYFUNCTION("""COMPUTED_VALUE"""),"Material")</f>
        <v>Material</v>
      </c>
      <c r="D471" s="109">
        <f>IFERROR(__xludf.DUMMYFUNCTION("""COMPUTED_VALUE"""),2085.0)</f>
        <v>2085</v>
      </c>
      <c r="E471" s="109">
        <f>IFERROR(__xludf.DUMMYFUNCTION("""COMPUTED_VALUE"""),467.0)</f>
        <v>467</v>
      </c>
      <c r="F471" s="109" t="str">
        <f>IFERROR(__xludf.DUMMYFUNCTION("""COMPUTED_VALUE"""),"Pale Pearl")</f>
        <v>Pale Pearl</v>
      </c>
      <c r="G471" s="109" t="str">
        <f>IFERROR(__xludf.DUMMYFUNCTION("""COMPUTED_VALUE"""),"Rosary")</f>
        <v>Rosary</v>
      </c>
      <c r="H471" s="109" t="str">
        <f>IFERROR(__xludf.DUMMYFUNCTION("""COMPUTED_VALUE"""),"Drustan's Labyrinth - Trial Isle (Night)")</f>
        <v>Drustan's Labyrinth - Trial Isle (Night)</v>
      </c>
    </row>
    <row r="472">
      <c r="A472" s="92"/>
      <c r="B472" s="110" t="str">
        <f>IFERROR(__xludf.DUMMYFUNCTION("""COMPUTED_VALUE"""),"Vicious Hoodlum")</f>
        <v>Vicious Hoodlum</v>
      </c>
      <c r="C472" s="111" t="str">
        <f>IFERROR(__xludf.DUMMYFUNCTION("""COMPUTED_VALUE"""),"Humanoid")</f>
        <v>Humanoid</v>
      </c>
      <c r="D472" s="111">
        <f>IFERROR(__xludf.DUMMYFUNCTION("""COMPUTED_VALUE"""),1615.0)</f>
        <v>1615</v>
      </c>
      <c r="E472" s="111">
        <f>IFERROR(__xludf.DUMMYFUNCTION("""COMPUTED_VALUE"""),440.0)</f>
        <v>440</v>
      </c>
      <c r="F472" s="111" t="str">
        <f>IFERROR(__xludf.DUMMYFUNCTION("""COMPUTED_VALUE"""),"Tough Guy Tattoo")</f>
        <v>Tough Guy Tattoo</v>
      </c>
      <c r="G472" s="111" t="str">
        <f>IFERROR(__xludf.DUMMYFUNCTION("""COMPUTED_VALUE"""),"Obliteratoriser")</f>
        <v>Obliteratoriser</v>
      </c>
      <c r="H472" s="111" t="str">
        <f>IFERROR(__xludf.DUMMYFUNCTION("""COMPUTED_VALUE"""),"Drustan's Labyrinth - Trial Isle (Night)")</f>
        <v>Drustan's Labyrinth - Trial Isle (Night)</v>
      </c>
    </row>
    <row r="473">
      <c r="A473" s="95"/>
      <c r="B473" s="108" t="str">
        <f>IFERROR(__xludf.DUMMYFUNCTION("""COMPUTED_VALUE"""),"Vicious Silhouette")</f>
        <v>Vicious Silhouette</v>
      </c>
      <c r="C473" s="109" t="str">
        <f>IFERROR(__xludf.DUMMYFUNCTION("""COMPUTED_VALUE"""),"Elemental")</f>
        <v>Elemental</v>
      </c>
      <c r="D473" s="109">
        <f>IFERROR(__xludf.DUMMYFUNCTION("""COMPUTED_VALUE"""),1307.0)</f>
        <v>1307</v>
      </c>
      <c r="E473" s="109">
        <f>IFERROR(__xludf.DUMMYFUNCTION("""COMPUTED_VALUE"""),271.0)</f>
        <v>271</v>
      </c>
      <c r="F473" s="109" t="str">
        <f>IFERROR(__xludf.DUMMYFUNCTION("""COMPUTED_VALUE"""),"Mystifying Mixture")</f>
        <v>Mystifying Mixture</v>
      </c>
      <c r="G473" s="109" t="str">
        <f>IFERROR(__xludf.DUMMYFUNCTION("""COMPUTED_VALUE"""),"Saint's Ashes")</f>
        <v>Saint's Ashes</v>
      </c>
      <c r="H473" s="109" t="str">
        <f>IFERROR(__xludf.DUMMYFUNCTION("""COMPUTED_VALUE"""),"Drustan's Labyrinth - Trial Isle")</f>
        <v>Drustan's Labyrinth - Trial Isle</v>
      </c>
    </row>
    <row r="474">
      <c r="A474" s="92"/>
      <c r="B474" s="110" t="str">
        <f>IFERROR(__xludf.DUMMYFUNCTION("""COMPUTED_VALUE"""),"Malicious Jargon")</f>
        <v>Malicious Jargon</v>
      </c>
      <c r="C474" s="111" t="str">
        <f>IFERROR(__xludf.DUMMYFUNCTION("""COMPUTED_VALUE"""),"Dragon")</f>
        <v>Dragon</v>
      </c>
      <c r="D474" s="111">
        <f>IFERROR(__xludf.DUMMYFUNCTION("""COMPUTED_VALUE"""),1511.0)</f>
        <v>1511</v>
      </c>
      <c r="E474" s="111">
        <f>IFERROR(__xludf.DUMMYFUNCTION("""COMPUTED_VALUE"""),408.0)</f>
        <v>408</v>
      </c>
      <c r="F474" s="111" t="str">
        <f>IFERROR(__xludf.DUMMYFUNCTION("""COMPUTED_VALUE"""),"Yellow Eye")</f>
        <v>Yellow Eye</v>
      </c>
      <c r="G474" s="111" t="str">
        <f>IFERROR(__xludf.DUMMYFUNCTION("""COMPUTED_VALUE"""),"Serpent Skin")</f>
        <v>Serpent Skin</v>
      </c>
      <c r="H474" s="111" t="str">
        <f>IFERROR(__xludf.DUMMYFUNCTION("""COMPUTED_VALUE"""),"Dundrasil Region")</f>
        <v>Dundrasil Region</v>
      </c>
    </row>
    <row r="475">
      <c r="A475" s="95"/>
      <c r="B475" s="108" t="str">
        <f>IFERROR(__xludf.DUMMYFUNCTION("""COMPUTED_VALUE"""),"Malicious Pteranodon")</f>
        <v>Malicious Pteranodon</v>
      </c>
      <c r="C475" s="109" t="str">
        <f>IFERROR(__xludf.DUMMYFUNCTION("""COMPUTED_VALUE"""),"Bird")</f>
        <v>Bird</v>
      </c>
      <c r="D475" s="109">
        <f>IFERROR(__xludf.DUMMYFUNCTION("""COMPUTED_VALUE"""),1445.0)</f>
        <v>1445</v>
      </c>
      <c r="E475" s="109">
        <f>IFERROR(__xludf.DUMMYFUNCTION("""COMPUTED_VALUE"""),242.0)</f>
        <v>242</v>
      </c>
      <c r="F475" s="109" t="str">
        <f>IFERROR(__xludf.DUMMYFUNCTION("""COMPUTED_VALUE"""),"Twisted Talons")</f>
        <v>Twisted Talons</v>
      </c>
      <c r="G475" s="109" t="str">
        <f>IFERROR(__xludf.DUMMYFUNCTION("""COMPUTED_VALUE"""),"Seed of Deftness")</f>
        <v>Seed of Deftness</v>
      </c>
      <c r="H475" s="109" t="str">
        <f>IFERROR(__xludf.DUMMYFUNCTION("""COMPUTED_VALUE"""),"Dundrasil Region")</f>
        <v>Dundrasil Region</v>
      </c>
    </row>
    <row r="476">
      <c r="A476" s="92"/>
      <c r="B476" s="110" t="str">
        <f>IFERROR(__xludf.DUMMYFUNCTION("""COMPUTED_VALUE"""),"Horknight Watchman")</f>
        <v>Horknight Watchman</v>
      </c>
      <c r="C476" s="111" t="str">
        <f>IFERROR(__xludf.DUMMYFUNCTION("""COMPUTED_VALUE"""),"Humanoid")</f>
        <v>Humanoid</v>
      </c>
      <c r="D476" s="111">
        <f>IFERROR(__xludf.DUMMYFUNCTION("""COMPUTED_VALUE"""),1604.0)</f>
        <v>1604</v>
      </c>
      <c r="E476" s="111">
        <f>IFERROR(__xludf.DUMMYFUNCTION("""COMPUTED_VALUE"""),357.0)</f>
        <v>357</v>
      </c>
      <c r="F476" s="111" t="str">
        <f>IFERROR(__xludf.DUMMYFUNCTION("""COMPUTED_VALUE"""),"Night Stick")</f>
        <v>Night Stick</v>
      </c>
      <c r="G476" s="111" t="str">
        <f>IFERROR(__xludf.DUMMYFUNCTION("""COMPUTED_VALUE"""),"Barbarous Pole")</f>
        <v>Barbarous Pole</v>
      </c>
      <c r="H476" s="111" t="str">
        <f>IFERROR(__xludf.DUMMYFUNCTION("""COMPUTED_VALUE"""),"The Hotto Steppe, Dundrasil Region")</f>
        <v>The Hotto Steppe, Dundrasil Region</v>
      </c>
    </row>
    <row r="477">
      <c r="A477" s="95"/>
      <c r="B477" s="108" t="str">
        <f>IFERROR(__xludf.DUMMYFUNCTION("""COMPUTED_VALUE"""),"Malicious Rottontail")</f>
        <v>Malicious Rottontail</v>
      </c>
      <c r="C477" s="109" t="str">
        <f>IFERROR(__xludf.DUMMYFUNCTION("""COMPUTED_VALUE"""),"Beast")</f>
        <v>Beast</v>
      </c>
      <c r="D477" s="109">
        <f>IFERROR(__xludf.DUMMYFUNCTION("""COMPUTED_VALUE"""),1224.0)</f>
        <v>1224</v>
      </c>
      <c r="E477" s="109">
        <f>IFERROR(__xludf.DUMMYFUNCTION("""COMPUTED_VALUE"""),275.0)</f>
        <v>275</v>
      </c>
      <c r="F477" s="109" t="str">
        <f>IFERROR(__xludf.DUMMYFUNCTION("""COMPUTED_VALUE"""),"Silkblossom")</f>
        <v>Silkblossom</v>
      </c>
      <c r="G477" s="109" t="str">
        <f>IFERROR(__xludf.DUMMYFUNCTION("""COMPUTED_VALUE"""),"Malleable Mask")</f>
        <v>Malleable Mask</v>
      </c>
      <c r="H477" s="109" t="str">
        <f>IFERROR(__xludf.DUMMYFUNCTION("""COMPUTED_VALUE"""),"Dundrasil Region")</f>
        <v>Dundrasil Region</v>
      </c>
    </row>
    <row r="478">
      <c r="A478" s="92"/>
      <c r="B478" s="110" t="str">
        <f>IFERROR(__xludf.DUMMYFUNCTION("""COMPUTED_VALUE"""),"Malicious Drackolyte")</f>
        <v>Malicious Drackolyte</v>
      </c>
      <c r="C478" s="111" t="str">
        <f>IFERROR(__xludf.DUMMYFUNCTION("""COMPUTED_VALUE"""),"Bird")</f>
        <v>Bird</v>
      </c>
      <c r="D478" s="111">
        <f>IFERROR(__xludf.DUMMYFUNCTION("""COMPUTED_VALUE"""),1207.0)</f>
        <v>1207</v>
      </c>
      <c r="E478" s="111">
        <f>IFERROR(__xludf.DUMMYFUNCTION("""COMPUTED_VALUE"""),301.0)</f>
        <v>301</v>
      </c>
      <c r="F478" s="111" t="str">
        <f>IFERROR(__xludf.DUMMYFUNCTION("""COMPUTED_VALUE"""),"Red Eye")</f>
        <v>Red Eye</v>
      </c>
      <c r="G478" s="111" t="str">
        <f>IFERROR(__xludf.DUMMYFUNCTION("""COMPUTED_VALUE"""),"Magic Water")</f>
        <v>Magic Water</v>
      </c>
      <c r="H478" s="111" t="str">
        <f>IFERROR(__xludf.DUMMYFUNCTION("""COMPUTED_VALUE"""),"Dundrasil Region, Insula Algarum")</f>
        <v>Dundrasil Region, Insula Algarum</v>
      </c>
    </row>
    <row r="479">
      <c r="A479" s="95"/>
      <c r="B479" s="108" t="str">
        <f>IFERROR(__xludf.DUMMYFUNCTION("""COMPUTED_VALUE"""),"Malicious Moosifer")</f>
        <v>Malicious Moosifer</v>
      </c>
      <c r="C479" s="109" t="str">
        <f>IFERROR(__xludf.DUMMYFUNCTION("""COMPUTED_VALUE"""),"Demon")</f>
        <v>Demon</v>
      </c>
      <c r="D479" s="109">
        <f>IFERROR(__xludf.DUMMYFUNCTION("""COMPUTED_VALUE"""),1826.0)</f>
        <v>1826</v>
      </c>
      <c r="E479" s="109">
        <f>IFERROR(__xludf.DUMMYFUNCTION("""COMPUTED_VALUE"""),365.0)</f>
        <v>365</v>
      </c>
      <c r="F479" s="109" t="str">
        <f>IFERROR(__xludf.DUMMYFUNCTION("""COMPUTED_VALUE"""),"Magic Beast Horn")</f>
        <v>Magic Beast Horn</v>
      </c>
      <c r="G479" s="109" t="str">
        <f>IFERROR(__xludf.DUMMYFUNCTION("""COMPUTED_VALUE"""),"Seed of Life")</f>
        <v>Seed of Life</v>
      </c>
      <c r="H479" s="109" t="str">
        <f>IFERROR(__xludf.DUMMYFUNCTION("""COMPUTED_VALUE"""),"Dundrasil Region, The First Forest")</f>
        <v>Dundrasil Region, The First Forest</v>
      </c>
    </row>
    <row r="480">
      <c r="A480" s="92"/>
      <c r="B480" s="110" t="str">
        <f>IFERROR(__xludf.DUMMYFUNCTION("""COMPUTED_VALUE"""),"Malicious Skullrider")</f>
        <v>Malicious Skullrider</v>
      </c>
      <c r="C480" s="111" t="str">
        <f>IFERROR(__xludf.DUMMYFUNCTION("""COMPUTED_VALUE"""),"Undead")</f>
        <v>Undead</v>
      </c>
      <c r="D480" s="111">
        <f>IFERROR(__xludf.DUMMYFUNCTION("""COMPUTED_VALUE"""),1259.0)</f>
        <v>1259</v>
      </c>
      <c r="E480" s="111">
        <f>IFERROR(__xludf.DUMMYFUNCTION("""COMPUTED_VALUE"""),282.0)</f>
        <v>282</v>
      </c>
      <c r="F480" s="111" t="str">
        <f>IFERROR(__xludf.DUMMYFUNCTION("""COMPUTED_VALUE"""),"Beast Bone")</f>
        <v>Beast Bone</v>
      </c>
      <c r="G480" s="111" t="str">
        <f>IFERROR(__xludf.DUMMYFUNCTION("""COMPUTED_VALUE"""),"Soldier's Sword")</f>
        <v>Soldier's Sword</v>
      </c>
      <c r="H480" s="111" t="str">
        <f>IFERROR(__xludf.DUMMYFUNCTION("""COMPUTED_VALUE"""),"The Cryptic Crypt, Gallopolis Region")</f>
        <v>The Cryptic Crypt, Gallopolis Region</v>
      </c>
    </row>
    <row r="481">
      <c r="A481" s="95"/>
      <c r="B481" s="108" t="str">
        <f>IFERROR(__xludf.DUMMYFUNCTION("""COMPUTED_VALUE"""),"Malicious Infanticore")</f>
        <v>Malicious Infanticore</v>
      </c>
      <c r="C481" s="109" t="str">
        <f>IFERROR(__xludf.DUMMYFUNCTION("""COMPUTED_VALUE"""),"Beast")</f>
        <v>Beast</v>
      </c>
      <c r="D481" s="109">
        <f>IFERROR(__xludf.DUMMYFUNCTION("""COMPUTED_VALUE"""),2428.0)</f>
        <v>2428</v>
      </c>
      <c r="E481" s="109">
        <f>IFERROR(__xludf.DUMMYFUNCTION("""COMPUTED_VALUE"""),524.0)</f>
        <v>524</v>
      </c>
      <c r="F481" s="109" t="str">
        <f>IFERROR(__xludf.DUMMYFUNCTION("""COMPUTED_VALUE"""),"Enchanted Stone")</f>
        <v>Enchanted Stone</v>
      </c>
      <c r="G481" s="109" t="str">
        <f>IFERROR(__xludf.DUMMYFUNCTION("""COMPUTED_VALUE"""),"Skull Ring")</f>
        <v>Skull Ring</v>
      </c>
      <c r="H481" s="109" t="str">
        <f>IFERROR(__xludf.DUMMYFUNCTION("""COMPUTED_VALUE"""),"Dundrasil Region, The First Forest")</f>
        <v>Dundrasil Region, The First Forest</v>
      </c>
    </row>
    <row r="482">
      <c r="A482" s="92"/>
      <c r="B482" s="110" t="str">
        <f>IFERROR(__xludf.DUMMYFUNCTION("""COMPUTED_VALUE"""),"Malicious Knight Errant")</f>
        <v>Malicious Knight Errant</v>
      </c>
      <c r="C482" s="111" t="str">
        <f>IFERROR(__xludf.DUMMYFUNCTION("""COMPUTED_VALUE"""),"Demon")</f>
        <v>Demon</v>
      </c>
      <c r="D482" s="111">
        <f>IFERROR(__xludf.DUMMYFUNCTION("""COMPUTED_VALUE"""),1489.0)</f>
        <v>1489</v>
      </c>
      <c r="E482" s="111">
        <f>IFERROR(__xludf.DUMMYFUNCTION("""COMPUTED_VALUE"""),406.0)</f>
        <v>406</v>
      </c>
      <c r="F482" s="111" t="str">
        <f>IFERROR(__xludf.DUMMYFUNCTION("""COMPUTED_VALUE"""),"Silver Ore")</f>
        <v>Silver Ore</v>
      </c>
      <c r="G482" s="111" t="str">
        <f>IFERROR(__xludf.DUMMYFUNCTION("""COMPUTED_VALUE"""),"Ring of Clarity")</f>
        <v>Ring of Clarity</v>
      </c>
      <c r="H482" s="111" t="str">
        <f>IFERROR(__xludf.DUMMYFUNCTION("""COMPUTED_VALUE"""),"Dundrasil Region")</f>
        <v>Dundrasil Region</v>
      </c>
    </row>
    <row r="483">
      <c r="A483" s="95"/>
      <c r="B483" s="108" t="str">
        <f>IFERROR(__xludf.DUMMYFUNCTION("""COMPUTED_VALUE"""),"Malciious Spiked Hare")</f>
        <v>Malciious Spiked Hare</v>
      </c>
      <c r="C483" s="109" t="str">
        <f>IFERROR(__xludf.DUMMYFUNCTION("""COMPUTED_VALUE"""),"Beast")</f>
        <v>Beast</v>
      </c>
      <c r="D483" s="109">
        <f>IFERROR(__xludf.DUMMYFUNCTION("""COMPUTED_VALUE"""),1017.0)</f>
        <v>1017</v>
      </c>
      <c r="E483" s="109">
        <f>IFERROR(__xludf.DUMMYFUNCTION("""COMPUTED_VALUE"""),228.0)</f>
        <v>228</v>
      </c>
      <c r="F483" s="109" t="str">
        <f>IFERROR(__xludf.DUMMYFUNCTION("""COMPUTED_VALUE"""),"Magic Beast Horn")</f>
        <v>Magic Beast Horn</v>
      </c>
      <c r="G483" s="109" t="str">
        <f>IFERROR(__xludf.DUMMYFUNCTION("""COMPUTED_VALUE"""),"Bunny Tail")</f>
        <v>Bunny Tail</v>
      </c>
      <c r="H483" s="109" t="str">
        <f>IFERROR(__xludf.DUMMYFUNCTION("""COMPUTED_VALUE"""),"Dundrasil Region, Insula Occidentalis")</f>
        <v>Dundrasil Region, Insula Occidentalis</v>
      </c>
    </row>
    <row r="484">
      <c r="A484" s="92"/>
      <c r="B484" s="110" t="str">
        <f>IFERROR(__xludf.DUMMYFUNCTION("""COMPUTED_VALUE"""),"Malicious Great Keeper")</f>
        <v>Malicious Great Keeper</v>
      </c>
      <c r="C484" s="111" t="str">
        <f>IFERROR(__xludf.DUMMYFUNCTION("""COMPUTED_VALUE"""),"Material")</f>
        <v>Material</v>
      </c>
      <c r="D484" s="111">
        <f>IFERROR(__xludf.DUMMYFUNCTION("""COMPUTED_VALUE"""),2195.0)</f>
        <v>2195</v>
      </c>
      <c r="E484" s="111">
        <f>IFERROR(__xludf.DUMMYFUNCTION("""COMPUTED_VALUE"""),511.0)</f>
        <v>511</v>
      </c>
      <c r="F484" s="111" t="str">
        <f>IFERROR(__xludf.DUMMYFUNCTION("""COMPUTED_VALUE"""),"Sainted Soma")</f>
        <v>Sainted Soma</v>
      </c>
      <c r="G484" s="111" t="str">
        <f>IFERROR(__xludf.DUMMYFUNCTION("""COMPUTED_VALUE"""),"Seed of Skill")</f>
        <v>Seed of Skill</v>
      </c>
      <c r="H484" s="111" t="str">
        <f>IFERROR(__xludf.DUMMYFUNCTION("""COMPUTED_VALUE"""),"Dundrasil Region (Rain)")</f>
        <v>Dundrasil Region (Rain)</v>
      </c>
    </row>
    <row r="485">
      <c r="A485" s="95"/>
      <c r="B485" s="108" t="str">
        <f>IFERROR(__xludf.DUMMYFUNCTION("""COMPUTED_VALUE"""),"Malicious Gloomnivore")</f>
        <v>Malicious Gloomnivore</v>
      </c>
      <c r="C485" s="109" t="str">
        <f>IFERROR(__xludf.DUMMYFUNCTION("""COMPUTED_VALUE"""),"Beast")</f>
        <v>Beast</v>
      </c>
      <c r="D485" s="109">
        <f>IFERROR(__xludf.DUMMYFUNCTION("""COMPUTED_VALUE"""),36000.0)</f>
        <v>36000</v>
      </c>
      <c r="E485" s="109">
        <f>IFERROR(__xludf.DUMMYFUNCTION("""COMPUTED_VALUE"""),12000.0)</f>
        <v>12000</v>
      </c>
      <c r="F485" s="109" t="str">
        <f>IFERROR(__xludf.DUMMYFUNCTION("""COMPUTED_VALUE"""),"--")</f>
        <v>--</v>
      </c>
      <c r="G485" s="109" t="str">
        <f>IFERROR(__xludf.DUMMYFUNCTION("""COMPUTED_VALUE"""),"--")</f>
        <v>--</v>
      </c>
      <c r="H485" s="109" t="str">
        <f>IFERROR(__xludf.DUMMYFUNCTION("""COMPUTED_VALUE"""),"--")</f>
        <v>--</v>
      </c>
    </row>
    <row r="486">
      <c r="A486" s="92"/>
      <c r="B486" s="110" t="str">
        <f>IFERROR(__xludf.DUMMYFUNCTION("""COMPUTED_VALUE"""),"Malicious Seaslime")</f>
        <v>Malicious Seaslime</v>
      </c>
      <c r="C486" s="111" t="str">
        <f>IFERROR(__xludf.DUMMYFUNCTION("""COMPUTED_VALUE"""),"Slime")</f>
        <v>Slime</v>
      </c>
      <c r="D486" s="111">
        <f>IFERROR(__xludf.DUMMYFUNCTION("""COMPUTED_VALUE"""),1260.0)</f>
        <v>1260</v>
      </c>
      <c r="E486" s="111">
        <f>IFERROR(__xludf.DUMMYFUNCTION("""COMPUTED_VALUE"""),304.0)</f>
        <v>304</v>
      </c>
      <c r="F486" s="111" t="str">
        <f>IFERROR(__xludf.DUMMYFUNCTION("""COMPUTED_VALUE"""),"Crimson Coral")</f>
        <v>Crimson Coral</v>
      </c>
      <c r="G486" s="111" t="str">
        <f>IFERROR(__xludf.DUMMYFUNCTION("""COMPUTED_VALUE"""),"Slime Earrings")</f>
        <v>Slime Earrings</v>
      </c>
      <c r="H486" s="111" t="str">
        <f>IFERROR(__xludf.DUMMYFUNCTION("""COMPUTED_VALUE"""),"Insula Orientalis, The Sea (Outer - South)")</f>
        <v>Insula Orientalis, The Sea (Outer - South)</v>
      </c>
    </row>
    <row r="487">
      <c r="A487" s="95"/>
      <c r="B487" s="108" t="str">
        <f>IFERROR(__xludf.DUMMYFUNCTION("""COMPUTED_VALUE"""),"Malicious Mermaniac")</f>
        <v>Malicious Mermaniac</v>
      </c>
      <c r="C487" s="109" t="str">
        <f>IFERROR(__xludf.DUMMYFUNCTION("""COMPUTED_VALUE"""),"Nature")</f>
        <v>Nature</v>
      </c>
      <c r="D487" s="109">
        <f>IFERROR(__xludf.DUMMYFUNCTION("""COMPUTED_VALUE"""),1703.0)</f>
        <v>1703</v>
      </c>
      <c r="E487" s="109">
        <f>IFERROR(__xludf.DUMMYFUNCTION("""COMPUTED_VALUE"""),404.0)</f>
        <v>404</v>
      </c>
      <c r="F487" s="109" t="str">
        <f>IFERROR(__xludf.DUMMYFUNCTION("""COMPUTED_VALUE"""),"Large Scale")</f>
        <v>Large Scale</v>
      </c>
      <c r="G487" s="109" t="str">
        <f>IFERROR(__xludf.DUMMYFUNCTION("""COMPUTED_VALUE"""),"Iron Claws")</f>
        <v>Iron Claws</v>
      </c>
      <c r="H487" s="109" t="str">
        <f>IFERROR(__xludf.DUMMYFUNCTION("""COMPUTED_VALUE"""),"The Sea (Outer - South)")</f>
        <v>The Sea (Outer - South)</v>
      </c>
    </row>
    <row r="488">
      <c r="A488" s="98"/>
      <c r="B488" s="110" t="str">
        <f>IFERROR(__xludf.DUMMYFUNCTION("""COMPUTED_VALUE"""),"Malicious Coralossus")</f>
        <v>Malicious Coralossus</v>
      </c>
      <c r="C488" s="111" t="str">
        <f>IFERROR(__xludf.DUMMYFUNCTION("""COMPUTED_VALUE"""),"Material")</f>
        <v>Material</v>
      </c>
      <c r="D488" s="111">
        <f>IFERROR(__xludf.DUMMYFUNCTION("""COMPUTED_VALUE"""),1819.0)</f>
        <v>1819</v>
      </c>
      <c r="E488" s="111">
        <f>IFERROR(__xludf.DUMMYFUNCTION("""COMPUTED_VALUE"""),411.0)</f>
        <v>411</v>
      </c>
      <c r="F488" s="111" t="str">
        <f>IFERROR(__xludf.DUMMYFUNCTION("""COMPUTED_VALUE"""),"Crimson Coral")</f>
        <v>Crimson Coral</v>
      </c>
      <c r="G488" s="111" t="str">
        <f>IFERROR(__xludf.DUMMYFUNCTION("""COMPUTED_VALUE"""),"Coral Hairpin")</f>
        <v>Coral Hairpin</v>
      </c>
      <c r="H488" s="111" t="str">
        <f>IFERROR(__xludf.DUMMYFUNCTION("""COMPUTED_VALUE"""),"The Costa Valor, The Sea")</f>
        <v>The Costa Valor, The Sea</v>
      </c>
    </row>
    <row r="489">
      <c r="A489" s="107" t="str">
        <f>IFERROR(__xludf.DUMMYFUNCTION("""COMPUTED_VALUE"""),"P25")</f>
        <v>P25</v>
      </c>
      <c r="B489" s="108" t="str">
        <f>IFERROR(__xludf.DUMMYFUNCTION("""COMPUTED_VALUE"""),"Malicious King Squid")</f>
        <v>Malicious King Squid</v>
      </c>
      <c r="C489" s="109" t="str">
        <f>IFERROR(__xludf.DUMMYFUNCTION("""COMPUTED_VALUE"""),"Nature")</f>
        <v>Nature</v>
      </c>
      <c r="D489" s="109">
        <f>IFERROR(__xludf.DUMMYFUNCTION("""COMPUTED_VALUE"""),5400.0)</f>
        <v>5400</v>
      </c>
      <c r="E489" s="109">
        <f>IFERROR(__xludf.DUMMYFUNCTION("""COMPUTED_VALUE"""),720.0)</f>
        <v>720</v>
      </c>
      <c r="F489" s="109" t="str">
        <f>IFERROR(__xludf.DUMMYFUNCTION("""COMPUTED_VALUE"""),"Water Sedge")</f>
        <v>Water Sedge</v>
      </c>
      <c r="G489" s="109" t="str">
        <f>IFERROR(__xludf.DUMMYFUNCTION("""COMPUTED_VALUE"""),"Pink Pearl")</f>
        <v>Pink Pearl</v>
      </c>
      <c r="H489" s="109" t="str">
        <f>IFERROR(__xludf.DUMMYFUNCTION("""COMPUTED_VALUE"""),"The Sea (Outer - South, Night)")</f>
        <v>The Sea (Outer - South, Night)</v>
      </c>
    </row>
    <row r="490">
      <c r="A490" s="92"/>
      <c r="B490" s="110" t="str">
        <f>IFERROR(__xludf.DUMMYFUNCTION("""COMPUTED_VALUE"""),"Malicious Diethon")</f>
        <v>Malicious Diethon</v>
      </c>
      <c r="C490" s="111" t="str">
        <f>IFERROR(__xludf.DUMMYFUNCTION("""COMPUTED_VALUE"""),"Dragon")</f>
        <v>Dragon</v>
      </c>
      <c r="D490" s="111">
        <f>IFERROR(__xludf.DUMMYFUNCTION("""COMPUTED_VALUE"""),1703.0)</f>
        <v>1703</v>
      </c>
      <c r="E490" s="111">
        <f>IFERROR(__xludf.DUMMYFUNCTION("""COMPUTED_VALUE"""),364.0)</f>
        <v>364</v>
      </c>
      <c r="F490" s="111" t="str">
        <f>IFERROR(__xludf.DUMMYFUNCTION("""COMPUTED_VALUE"""),"Snakeskin")</f>
        <v>Snakeskin</v>
      </c>
      <c r="G490" s="111" t="str">
        <f>IFERROR(__xludf.DUMMYFUNCTION("""COMPUTED_VALUE"""),"Artful Amethyst")</f>
        <v>Artful Amethyst</v>
      </c>
      <c r="H490" s="111" t="str">
        <f>IFERROR(__xludf.DUMMYFUNCTION("""COMPUTED_VALUE"""),"The Sea (Outer - South)")</f>
        <v>The Sea (Outer - South)</v>
      </c>
    </row>
    <row r="491">
      <c r="A491" s="95"/>
      <c r="B491" s="108" t="str">
        <f>IFERROR(__xludf.DUMMYFUNCTION("""COMPUTED_VALUE"""),"Master Commander")</f>
        <v>Master Commander</v>
      </c>
      <c r="C491" s="109" t="str">
        <f>IFERROR(__xludf.DUMMYFUNCTION("""COMPUTED_VALUE"""),"Demon")</f>
        <v>Demon</v>
      </c>
      <c r="D491" s="109">
        <f>IFERROR(__xludf.DUMMYFUNCTION("""COMPUTED_VALUE"""),3264.0)</f>
        <v>3264</v>
      </c>
      <c r="E491" s="109">
        <f>IFERROR(__xludf.DUMMYFUNCTION("""COMPUTED_VALUE"""),546.0)</f>
        <v>546</v>
      </c>
      <c r="F491" s="109" t="str">
        <f>IFERROR(__xludf.DUMMYFUNCTION("""COMPUTED_VALUE"""),"Agate of Evolution")</f>
        <v>Agate of Evolution</v>
      </c>
      <c r="G491" s="109" t="str">
        <f>IFERROR(__xludf.DUMMYFUNCTION("""COMPUTED_VALUE"""),"Hades' Helm")</f>
        <v>Hades' Helm</v>
      </c>
      <c r="H491" s="109" t="str">
        <f>IFERROR(__xludf.DUMMYFUNCTION("""COMPUTED_VALUE"""),"The Sea (Outer)")</f>
        <v>The Sea (Outer)</v>
      </c>
    </row>
    <row r="492">
      <c r="A492" s="92"/>
      <c r="B492" s="110" t="str">
        <f>IFERROR(__xludf.DUMMYFUNCTION("""COMPUTED_VALUE"""),"Malicious Tentacular")</f>
        <v>Malicious Tentacular</v>
      </c>
      <c r="C492" s="111" t="str">
        <f>IFERROR(__xludf.DUMMYFUNCTION("""COMPUTED_VALUE"""),"Nature")</f>
        <v>Nature</v>
      </c>
      <c r="D492" s="111">
        <f>IFERROR(__xludf.DUMMYFUNCTION("""COMPUTED_VALUE"""),6000.0)</f>
        <v>6000</v>
      </c>
      <c r="E492" s="111">
        <f>IFERROR(__xludf.DUMMYFUNCTION("""COMPUTED_VALUE"""),960.0)</f>
        <v>960</v>
      </c>
      <c r="F492" s="111" t="str">
        <f>IFERROR(__xludf.DUMMYFUNCTION("""COMPUTED_VALUE"""),"Special Medicine")</f>
        <v>Special Medicine</v>
      </c>
      <c r="G492" s="111" t="str">
        <f>IFERROR(__xludf.DUMMYFUNCTION("""COMPUTED_VALUE"""),"Full Moon Ring")</f>
        <v>Full Moon Ring</v>
      </c>
      <c r="H492" s="111" t="str">
        <f>IFERROR(__xludf.DUMMYFUNCTION("""COMPUTED_VALUE"""),"The Sea (Outer)")</f>
        <v>The Sea (Outer)</v>
      </c>
    </row>
    <row r="493">
      <c r="A493" s="95"/>
      <c r="B493" s="108" t="str">
        <f>IFERROR(__xludf.DUMMYFUNCTION("""COMPUTED_VALUE"""),"Bathysfear")</f>
        <v>Bathysfear</v>
      </c>
      <c r="C493" s="109" t="str">
        <f>IFERROR(__xludf.DUMMYFUNCTION("""COMPUTED_VALUE"""),"Demon")</f>
        <v>Demon</v>
      </c>
      <c r="D493" s="109">
        <f>IFERROR(__xludf.DUMMYFUNCTION("""COMPUTED_VALUE"""),50000.0)</f>
        <v>50000</v>
      </c>
      <c r="E493" s="109">
        <f>IFERROR(__xludf.DUMMYFUNCTION("""COMPUTED_VALUE"""),15000.0)</f>
        <v>15000</v>
      </c>
      <c r="F493" s="109" t="str">
        <f>IFERROR(__xludf.DUMMYFUNCTION("""COMPUTED_VALUE"""),"--")</f>
        <v>--</v>
      </c>
      <c r="G493" s="109" t="str">
        <f>IFERROR(__xludf.DUMMYFUNCTION("""COMPUTED_VALUE"""),"--")</f>
        <v>--</v>
      </c>
      <c r="H493" s="109" t="str">
        <f>IFERROR(__xludf.DUMMYFUNCTION("""COMPUTED_VALUE"""),"--")</f>
        <v>--</v>
      </c>
    </row>
    <row r="494">
      <c r="A494" s="92"/>
      <c r="B494" s="110" t="str">
        <f>IFERROR(__xludf.DUMMYFUNCTION("""COMPUTED_VALUE"""),"Orc Chieftain")</f>
        <v>Orc Chieftain</v>
      </c>
      <c r="C494" s="111" t="str">
        <f>IFERROR(__xludf.DUMMYFUNCTION("""COMPUTED_VALUE"""),"Beast")</f>
        <v>Beast</v>
      </c>
      <c r="D494" s="111">
        <f>IFERROR(__xludf.DUMMYFUNCTION("""COMPUTED_VALUE"""),2261.0)</f>
        <v>2261</v>
      </c>
      <c r="E494" s="111">
        <f>IFERROR(__xludf.DUMMYFUNCTION("""COMPUTED_VALUE"""),418.0)</f>
        <v>418</v>
      </c>
      <c r="F494" s="111" t="str">
        <f>IFERROR(__xludf.DUMMYFUNCTION("""COMPUTED_VALUE"""),"Gold Nuglet")</f>
        <v>Gold Nuglet</v>
      </c>
      <c r="G494" s="111" t="str">
        <f>IFERROR(__xludf.DUMMYFUNCTION("""COMPUTED_VALUE"""),"Sacred Spear")</f>
        <v>Sacred Spear</v>
      </c>
      <c r="H494" s="111" t="str">
        <f>IFERROR(__xludf.DUMMYFUNCTION("""COMPUTED_VALUE"""),"Insula Occidentalis, The Hekswood")</f>
        <v>Insula Occidentalis, The Hekswood</v>
      </c>
    </row>
    <row r="495">
      <c r="A495" s="95"/>
      <c r="B495" s="108" t="str">
        <f>IFERROR(__xludf.DUMMYFUNCTION("""COMPUTED_VALUE"""),"Franticore")</f>
        <v>Franticore</v>
      </c>
      <c r="C495" s="109" t="str">
        <f>IFERROR(__xludf.DUMMYFUNCTION("""COMPUTED_VALUE"""),"Beast")</f>
        <v>Beast</v>
      </c>
      <c r="D495" s="109">
        <f>IFERROR(__xludf.DUMMYFUNCTION("""COMPUTED_VALUE"""),3580.0)</f>
        <v>3580</v>
      </c>
      <c r="E495" s="109">
        <f>IFERROR(__xludf.DUMMYFUNCTION("""COMPUTED_VALUE"""),620.0)</f>
        <v>620</v>
      </c>
      <c r="F495" s="109" t="str">
        <f>IFERROR(__xludf.DUMMYFUNCTION("""COMPUTED_VALUE"""),"Spectralite")</f>
        <v>Spectralite</v>
      </c>
      <c r="G495" s="109" t="str">
        <f>IFERROR(__xludf.DUMMYFUNCTION("""COMPUTED_VALUE"""),"Skull Ring")</f>
        <v>Skull Ring</v>
      </c>
      <c r="H495" s="109" t="str">
        <f>IFERROR(__xludf.DUMMYFUNCTION("""COMPUTED_VALUE"""),"Insula Occidentalis, The Hekswood")</f>
        <v>Insula Occidentalis, The Hekswood</v>
      </c>
    </row>
    <row r="496">
      <c r="A496" s="92"/>
      <c r="B496" s="110" t="str">
        <f>IFERROR(__xludf.DUMMYFUNCTION("""COMPUTED_VALUE"""),"Malicious Brownie")</f>
        <v>Malicious Brownie</v>
      </c>
      <c r="C496" s="111" t="str">
        <f>IFERROR(__xludf.DUMMYFUNCTION("""COMPUTED_VALUE"""),"Humanoid")</f>
        <v>Humanoid</v>
      </c>
      <c r="D496" s="111">
        <f>IFERROR(__xludf.DUMMYFUNCTION("""COMPUTED_VALUE"""),1289.0)</f>
        <v>1289</v>
      </c>
      <c r="E496" s="111">
        <f>IFERROR(__xludf.DUMMYFUNCTION("""COMPUTED_VALUE"""),305.0)</f>
        <v>305</v>
      </c>
      <c r="F496" s="111" t="str">
        <f>IFERROR(__xludf.DUMMYFUNCTION("""COMPUTED_VALUE"""),"Night Stick")</f>
        <v>Night Stick</v>
      </c>
      <c r="G496" s="111" t="str">
        <f>IFERROR(__xludf.DUMMYFUNCTION("""COMPUTED_VALUE"""),"Seed of Strength")</f>
        <v>Seed of Strength</v>
      </c>
      <c r="H496" s="111" t="str">
        <f>IFERROR(__xludf.DUMMYFUNCTION("""COMPUTED_VALUE"""),"Insula Incognita")</f>
        <v>Insula Incognita</v>
      </c>
    </row>
    <row r="497">
      <c r="A497" s="95"/>
      <c r="B497" s="108" t="str">
        <f>IFERROR(__xludf.DUMMYFUNCTION("""COMPUTED_VALUE"""),"Malicious Merking")</f>
        <v>Malicious Merking</v>
      </c>
      <c r="C497" s="109" t="str">
        <f>IFERROR(__xludf.DUMMYFUNCTION("""COMPUTED_VALUE"""),"Nature")</f>
        <v>Nature</v>
      </c>
      <c r="D497" s="109">
        <f>IFERROR(__xludf.DUMMYFUNCTION("""COMPUTED_VALUE"""),24000.0)</f>
        <v>24000</v>
      </c>
      <c r="E497" s="109">
        <f>IFERROR(__xludf.DUMMYFUNCTION("""COMPUTED_VALUE"""),10000.0)</f>
        <v>10000</v>
      </c>
      <c r="F497" s="109" t="str">
        <f>IFERROR(__xludf.DUMMYFUNCTION("""COMPUTED_VALUE"""),"--")</f>
        <v>--</v>
      </c>
      <c r="G497" s="109" t="str">
        <f>IFERROR(__xludf.DUMMYFUNCTION("""COMPUTED_VALUE"""),"--")</f>
        <v>--</v>
      </c>
      <c r="H497" s="109" t="str">
        <f>IFERROR(__xludf.DUMMYFUNCTION("""COMPUTED_VALUE"""),"--")</f>
        <v>--</v>
      </c>
    </row>
    <row r="498">
      <c r="A498" s="92"/>
      <c r="B498" s="110" t="str">
        <f>IFERROR(__xludf.DUMMYFUNCTION("""COMPUTED_VALUE"""),"Calasmonaut")</f>
        <v>Calasmonaut</v>
      </c>
      <c r="C498" s="111" t="str">
        <f>IFERROR(__xludf.DUMMYFUNCTION("""COMPUTED_VALUE"""),"Undead")</f>
        <v>Undead</v>
      </c>
      <c r="D498" s="111">
        <f>IFERROR(__xludf.DUMMYFUNCTION("""COMPUTED_VALUE"""),1506.0)</f>
        <v>1506</v>
      </c>
      <c r="E498" s="111">
        <f>IFERROR(__xludf.DUMMYFUNCTION("""COMPUTED_VALUE"""),341.0)</f>
        <v>341</v>
      </c>
      <c r="F498" s="111" t="str">
        <f>IFERROR(__xludf.DUMMYFUNCTION("""COMPUTED_VALUE"""),"Equable Emerald")</f>
        <v>Equable Emerald</v>
      </c>
      <c r="G498" s="111" t="str">
        <f>IFERROR(__xludf.DUMMYFUNCTION("""COMPUTED_VALUE"""),"Skull Helm")</f>
        <v>Skull Helm</v>
      </c>
      <c r="H498" s="111" t="str">
        <f>IFERROR(__xludf.DUMMYFUNCTION("""COMPUTED_VALUE"""),"Gallopolis Region, The Costa Valor")</f>
        <v>Gallopolis Region, The Costa Valor</v>
      </c>
    </row>
    <row r="499">
      <c r="A499" s="95"/>
      <c r="B499" s="108" t="str">
        <f>IFERROR(__xludf.DUMMYFUNCTION("""COMPUTED_VALUE"""),"Malicious Slime Knight")</f>
        <v>Malicious Slime Knight</v>
      </c>
      <c r="C499" s="109" t="str">
        <f>IFERROR(__xludf.DUMMYFUNCTION("""COMPUTED_VALUE"""),"Slime")</f>
        <v>Slime</v>
      </c>
      <c r="D499" s="109">
        <f>IFERROR(__xludf.DUMMYFUNCTION("""COMPUTED_VALUE"""),1324.0)</f>
        <v>1324</v>
      </c>
      <c r="E499" s="109">
        <f>IFERROR(__xludf.DUMMYFUNCTION("""COMPUTED_VALUE"""),285.0)</f>
        <v>285</v>
      </c>
      <c r="F499" s="109" t="str">
        <f>IFERROR(__xludf.DUMMYFUNCTION("""COMPUTED_VALUE"""),"Slimedrop")</f>
        <v>Slimedrop</v>
      </c>
      <c r="G499" s="109" t="str">
        <f>IFERROR(__xludf.DUMMYFUNCTION("""COMPUTED_VALUE"""),"Iron Broadsword")</f>
        <v>Iron Broadsword</v>
      </c>
      <c r="H499" s="109" t="str">
        <f>IFERROR(__xludf.DUMMYFUNCTION("""COMPUTED_VALUE"""),"The Costa Valor, Insula Orientalis")</f>
        <v>The Costa Valor, Insula Orientalis</v>
      </c>
    </row>
    <row r="500">
      <c r="A500" s="92"/>
      <c r="B500" s="110" t="str">
        <f>IFERROR(__xludf.DUMMYFUNCTION("""COMPUTED_VALUE"""),"Gnashturtium")</f>
        <v>Gnashturtium</v>
      </c>
      <c r="C500" s="111" t="str">
        <f>IFERROR(__xludf.DUMMYFUNCTION("""COMPUTED_VALUE"""),"Nature")</f>
        <v>Nature</v>
      </c>
      <c r="D500" s="111">
        <f>IFERROR(__xludf.DUMMYFUNCTION("""COMPUTED_VALUE"""),1689.0)</f>
        <v>1689</v>
      </c>
      <c r="E500" s="111">
        <f>IFERROR(__xludf.DUMMYFUNCTION("""COMPUTED_VALUE"""),453.0)</f>
        <v>453</v>
      </c>
      <c r="F500" s="111" t="str">
        <f>IFERROR(__xludf.DUMMYFUNCTION("""COMPUTED_VALUE"""),"Special Antidote")</f>
        <v>Special Antidote</v>
      </c>
      <c r="G500" s="111" t="str">
        <f>IFERROR(__xludf.DUMMYFUNCTION("""COMPUTED_VALUE"""),"Empress's Whip")</f>
        <v>Empress's Whip</v>
      </c>
      <c r="H500" s="111" t="str">
        <f>IFERROR(__xludf.DUMMYFUNCTION("""COMPUTED_VALUE"""),"The Costa Valor, Insula Borealis")</f>
        <v>The Costa Valor, Insula Borealis</v>
      </c>
    </row>
    <row r="501">
      <c r="A501" s="95"/>
      <c r="B501" s="108" t="str">
        <f>IFERROR(__xludf.DUMMYFUNCTION("""COMPUTED_VALUE"""),"Malicious Robo-Robin")</f>
        <v>Malicious Robo-Robin</v>
      </c>
      <c r="C501" s="109" t="str">
        <f>IFERROR(__xludf.DUMMYFUNCTION("""COMPUTED_VALUE"""),"Machine")</f>
        <v>Machine</v>
      </c>
      <c r="D501" s="109">
        <f>IFERROR(__xludf.DUMMYFUNCTION("""COMPUTED_VALUE"""),1341.0)</f>
        <v>1341</v>
      </c>
      <c r="E501" s="109">
        <f>IFERROR(__xludf.DUMMYFUNCTION("""COMPUTED_VALUE"""),404.0)</f>
        <v>404</v>
      </c>
      <c r="F501" s="109" t="str">
        <f>IFERROR(__xludf.DUMMYFUNCTION("""COMPUTED_VALUE"""),"Densinium")</f>
        <v>Densinium</v>
      </c>
      <c r="G501" s="109" t="str">
        <f>IFERROR(__xludf.DUMMYFUNCTION("""COMPUTED_VALUE"""),"Metal Goomerang")</f>
        <v>Metal Goomerang</v>
      </c>
      <c r="H501" s="109" t="str">
        <f>IFERROR(__xludf.DUMMYFUNCTION("""COMPUTED_VALUE"""),"Gallopolis Region, The Costa Valor")</f>
        <v>Gallopolis Region, The Costa Valor</v>
      </c>
    </row>
    <row r="502">
      <c r="A502" s="92"/>
      <c r="B502" s="110" t="str">
        <f>IFERROR(__xludf.DUMMYFUNCTION("""COMPUTED_VALUE"""),"Malicious Loss Leader")</f>
        <v>Malicious Loss Leader</v>
      </c>
      <c r="C502" s="111" t="str">
        <f>IFERROR(__xludf.DUMMYFUNCTION("""COMPUTED_VALUE"""),"Demon")</f>
        <v>Demon</v>
      </c>
      <c r="D502" s="111">
        <f>IFERROR(__xludf.DUMMYFUNCTION("""COMPUTED_VALUE"""),2927.0)</f>
        <v>2927</v>
      </c>
      <c r="E502" s="111">
        <f>IFERROR(__xludf.DUMMYFUNCTION("""COMPUTED_VALUE"""),516.0)</f>
        <v>516</v>
      </c>
      <c r="F502" s="111" t="str">
        <f>IFERROR(__xludf.DUMMYFUNCTION("""COMPUTED_VALUE"""),"Ethereal Stone")</f>
        <v>Ethereal Stone</v>
      </c>
      <c r="G502" s="111" t="str">
        <f>IFERROR(__xludf.DUMMYFUNCTION("""COMPUTED_VALUE"""),"Liquid Metal Helm")</f>
        <v>Liquid Metal Helm</v>
      </c>
      <c r="H502" s="111" t="str">
        <f>IFERROR(__xludf.DUMMYFUNCTION("""COMPUTED_VALUE"""),"Gallopolis Region, The Costa Valor")</f>
        <v>Gallopolis Region, The Costa Valor</v>
      </c>
    </row>
    <row r="503">
      <c r="A503" s="95"/>
      <c r="B503" s="108" t="str">
        <f>IFERROR(__xludf.DUMMYFUNCTION("""COMPUTED_VALUE"""),"Mothertoad")</f>
        <v>Mothertoad</v>
      </c>
      <c r="C503" s="109" t="str">
        <f>IFERROR(__xludf.DUMMYFUNCTION("""COMPUTED_VALUE"""),"Nature")</f>
        <v>Nature</v>
      </c>
      <c r="D503" s="109">
        <f>IFERROR(__xludf.DUMMYFUNCTION("""COMPUTED_VALUE"""),1452.0)</f>
        <v>1452</v>
      </c>
      <c r="E503" s="109">
        <f>IFERROR(__xludf.DUMMYFUNCTION("""COMPUTED_VALUE"""),359.0)</f>
        <v>359</v>
      </c>
      <c r="F503" s="109" t="str">
        <f>IFERROR(__xludf.DUMMYFUNCTION("""COMPUTED_VALUE"""),"Ethereal Stone")</f>
        <v>Ethereal Stone</v>
      </c>
      <c r="G503" s="109" t="str">
        <f>IFERROR(__xludf.DUMMYFUNCTION("""COMPUTED_VALUE"""),"Spectralite")</f>
        <v>Spectralite</v>
      </c>
      <c r="H503" s="109" t="str">
        <f>IFERROR(__xludf.DUMMYFUNCTION("""COMPUTED_VALUE"""),"The Costa Valor")</f>
        <v>The Costa Valor</v>
      </c>
    </row>
    <row r="504">
      <c r="A504" s="92"/>
      <c r="B504" s="110" t="str">
        <f>IFERROR(__xludf.DUMMYFUNCTION("""COMPUTED_VALUE"""),"Malicious Flython")</f>
        <v>Malicious Flython</v>
      </c>
      <c r="C504" s="111" t="str">
        <f>IFERROR(__xludf.DUMMYFUNCTION("""COMPUTED_VALUE"""),"Dragon")</f>
        <v>Dragon</v>
      </c>
      <c r="D504" s="111">
        <f>IFERROR(__xludf.DUMMYFUNCTION("""COMPUTED_VALUE"""),1529.0)</f>
        <v>1529</v>
      </c>
      <c r="E504" s="111">
        <f>IFERROR(__xludf.DUMMYFUNCTION("""COMPUTED_VALUE"""),307.0)</f>
        <v>307</v>
      </c>
      <c r="F504" s="111" t="str">
        <f>IFERROR(__xludf.DUMMYFUNCTION("""COMPUTED_VALUE"""),"Snakeskin")</f>
        <v>Snakeskin</v>
      </c>
      <c r="G504" s="111" t="str">
        <f>IFERROR(__xludf.DUMMYFUNCTION("""COMPUTED_VALUE"""),"Savvy Sapphire")</f>
        <v>Savvy Sapphire</v>
      </c>
      <c r="H504" s="111" t="str">
        <f>IFERROR(__xludf.DUMMYFUNCTION("""COMPUTED_VALUE"""),"Gallopolis Region, The Costa Valor")</f>
        <v>Gallopolis Region, The Costa Valor</v>
      </c>
    </row>
    <row r="505">
      <c r="A505" s="95"/>
      <c r="B505" s="108" t="str">
        <f>IFERROR(__xludf.DUMMYFUNCTION("""COMPUTED_VALUE"""),"Malicious Squid Kid")</f>
        <v>Malicious Squid Kid</v>
      </c>
      <c r="C505" s="109" t="str">
        <f>IFERROR(__xludf.DUMMYFUNCTION("""COMPUTED_VALUE"""),"Nature")</f>
        <v>Nature</v>
      </c>
      <c r="D505" s="109">
        <f>IFERROR(__xludf.DUMMYFUNCTION("""COMPUTED_VALUE"""),964.0)</f>
        <v>964</v>
      </c>
      <c r="E505" s="109">
        <f>IFERROR(__xludf.DUMMYFUNCTION("""COMPUTED_VALUE"""),231.0)</f>
        <v>231</v>
      </c>
      <c r="F505" s="109" t="str">
        <f>IFERROR(__xludf.DUMMYFUNCTION("""COMPUTED_VALUE"""),"Pale Pearl")</f>
        <v>Pale Pearl</v>
      </c>
      <c r="G505" s="109" t="str">
        <f>IFERROR(__xludf.DUMMYFUNCTION("""COMPUTED_VALUE"""),"Dancer's Costume")</f>
        <v>Dancer's Costume</v>
      </c>
      <c r="H505" s="109" t="str">
        <f>IFERROR(__xludf.DUMMYFUNCTION("""COMPUTED_VALUE"""),"The Costa Valor")</f>
        <v>The Costa Valor</v>
      </c>
    </row>
    <row r="506">
      <c r="A506" s="92"/>
      <c r="B506" s="110" t="str">
        <f>IFERROR(__xludf.DUMMYFUNCTION("""COMPUTED_VALUE"""),"Malicious Smacker")</f>
        <v>Malicious Smacker</v>
      </c>
      <c r="C506" s="111" t="str">
        <f>IFERROR(__xludf.DUMMYFUNCTION("""COMPUTED_VALUE"""),"Nature")</f>
        <v>Nature</v>
      </c>
      <c r="D506" s="111">
        <f>IFERROR(__xludf.DUMMYFUNCTION("""COMPUTED_VALUE"""),1189.0)</f>
        <v>1189</v>
      </c>
      <c r="E506" s="111">
        <f>IFERROR(__xludf.DUMMYFUNCTION("""COMPUTED_VALUE"""),240.0)</f>
        <v>240</v>
      </c>
      <c r="F506" s="111" t="str">
        <f>IFERROR(__xludf.DUMMYFUNCTION("""COMPUTED_VALUE"""),"Magic Water")</f>
        <v>Magic Water</v>
      </c>
      <c r="G506" s="111" t="str">
        <f>IFERROR(__xludf.DUMMYFUNCTION("""COMPUTED_VALUE"""),"Sage's Elixir")</f>
        <v>Sage's Elixir</v>
      </c>
      <c r="H506" s="111" t="str">
        <f>IFERROR(__xludf.DUMMYFUNCTION("""COMPUTED_VALUE"""),"The Costa Valor")</f>
        <v>The Costa Valor</v>
      </c>
    </row>
    <row r="507">
      <c r="A507" s="95"/>
      <c r="B507" s="108" t="str">
        <f>IFERROR(__xludf.DUMMYFUNCTION("""COMPUTED_VALUE"""),"Coralotl")</f>
        <v>Coralotl</v>
      </c>
      <c r="C507" s="109" t="str">
        <f>IFERROR(__xludf.DUMMYFUNCTION("""COMPUTED_VALUE"""),"Dragon")</f>
        <v>Dragon</v>
      </c>
      <c r="D507" s="109">
        <f>IFERROR(__xludf.DUMMYFUNCTION("""COMPUTED_VALUE"""),5050.0)</f>
        <v>5050</v>
      </c>
      <c r="E507" s="109">
        <f>IFERROR(__xludf.DUMMYFUNCTION("""COMPUTED_VALUE"""),720.0)</f>
        <v>720</v>
      </c>
      <c r="F507" s="109" t="str">
        <f>IFERROR(__xludf.DUMMYFUNCTION("""COMPUTED_VALUE"""),"Agate of Evolution")</f>
        <v>Agate of Evolution</v>
      </c>
      <c r="G507" s="109" t="str">
        <f>IFERROR(__xludf.DUMMYFUNCTION("""COMPUTED_VALUE"""),"Uber Agate of Evolution")</f>
        <v>Uber Agate of Evolution</v>
      </c>
      <c r="H507" s="109" t="str">
        <f>IFERROR(__xludf.DUMMYFUNCTION("""COMPUTED_VALUE"""),"The Costa Valor")</f>
        <v>The Costa Valor</v>
      </c>
    </row>
    <row r="508">
      <c r="A508" s="98"/>
      <c r="B508" s="110" t="str">
        <f>IFERROR(__xludf.DUMMYFUNCTION("""COMPUTED_VALUE"""),"Malicious Sootbonce")</f>
        <v>Malicious Sootbonce</v>
      </c>
      <c r="C508" s="111" t="str">
        <f>IFERROR(__xludf.DUMMYFUNCTION("""COMPUTED_VALUE"""),"Demon")</f>
        <v>Demon</v>
      </c>
      <c r="D508" s="111">
        <f>IFERROR(__xludf.DUMMYFUNCTION("""COMPUTED_VALUE"""),1229.0)</f>
        <v>1229</v>
      </c>
      <c r="E508" s="111">
        <f>IFERROR(__xludf.DUMMYFUNCTION("""COMPUTED_VALUE"""),307.0)</f>
        <v>307</v>
      </c>
      <c r="F508" s="111" t="str">
        <f>IFERROR(__xludf.DUMMYFUNCTION("""COMPUTED_VALUE"""),"Toad Oil")</f>
        <v>Toad Oil</v>
      </c>
      <c r="G508" s="111" t="str">
        <f>IFERROR(__xludf.DUMMYFUNCTION("""COMPUTED_VALUE"""),"Crimson Claws")</f>
        <v>Crimson Claws</v>
      </c>
      <c r="H508" s="111" t="str">
        <f>IFERROR(__xludf.DUMMYFUNCTION("""COMPUTED_VALUE"""),"The Snaerfelt")</f>
        <v>The Snaerfelt</v>
      </c>
    </row>
    <row r="509">
      <c r="A509" s="107" t="str">
        <f>IFERROR(__xludf.DUMMYFUNCTION("""COMPUTED_VALUE"""),"P26")</f>
        <v>P26</v>
      </c>
      <c r="B509" s="108" t="str">
        <f>IFERROR(__xludf.DUMMYFUNCTION("""COMPUTED_VALUE"""),"Malicious Smogbonnet")</f>
        <v>Malicious Smogbonnet</v>
      </c>
      <c r="C509" s="109" t="str">
        <f>IFERROR(__xludf.DUMMYFUNCTION("""COMPUTED_VALUE"""),"Demon")</f>
        <v>Demon</v>
      </c>
      <c r="D509" s="109">
        <f>IFERROR(__xludf.DUMMYFUNCTION("""COMPUTED_VALUE"""),1230.0)</f>
        <v>1230</v>
      </c>
      <c r="E509" s="109">
        <f>IFERROR(__xludf.DUMMYFUNCTION("""COMPUTED_VALUE"""),307.0)</f>
        <v>307</v>
      </c>
      <c r="F509" s="109" t="str">
        <f>IFERROR(__xludf.DUMMYFUNCTION("""COMPUTED_VALUE"""),"Snakeskin")</f>
        <v>Snakeskin</v>
      </c>
      <c r="G509" s="109" t="str">
        <f>IFERROR(__xludf.DUMMYFUNCTION("""COMPUTED_VALUE"""),"Crimson Claws")</f>
        <v>Crimson Claws</v>
      </c>
      <c r="H509" s="109" t="str">
        <f>IFERROR(__xludf.DUMMYFUNCTION("""COMPUTED_VALUE"""),"The Snaerfelt")</f>
        <v>The Snaerfelt</v>
      </c>
    </row>
    <row r="510">
      <c r="A510" s="92"/>
      <c r="B510" s="110" t="str">
        <f>IFERROR(__xludf.DUMMYFUNCTION("""COMPUTED_VALUE"""),"Malicious Lethal Armour")</f>
        <v>Malicious Lethal Armour</v>
      </c>
      <c r="C510" s="111" t="str">
        <f>IFERROR(__xludf.DUMMYFUNCTION("""COMPUTED_VALUE"""),"Material")</f>
        <v>Material</v>
      </c>
      <c r="D510" s="111">
        <f>IFERROR(__xludf.DUMMYFUNCTION("""COMPUTED_VALUE"""),1623.0)</f>
        <v>1623</v>
      </c>
      <c r="E510" s="111">
        <f>IFERROR(__xludf.DUMMYFUNCTION("""COMPUTED_VALUE"""),473.0)</f>
        <v>473</v>
      </c>
      <c r="F510" s="111" t="str">
        <f>IFERROR(__xludf.DUMMYFUNCTION("""COMPUTED_VALUE"""),"Platinum Sword")</f>
        <v>Platinum Sword</v>
      </c>
      <c r="G510" s="111" t="str">
        <f>IFERROR(__xludf.DUMMYFUNCTION("""COMPUTED_VALUE"""),"Platinum Mail")</f>
        <v>Platinum Mail</v>
      </c>
      <c r="H510" s="111" t="str">
        <f>IFERROR(__xludf.DUMMYFUNCTION("""COMPUTED_VALUE"""),"The Battleground")</f>
        <v>The Battleground</v>
      </c>
    </row>
    <row r="511">
      <c r="A511" s="95"/>
      <c r="B511" s="108" t="str">
        <f>IFERROR(__xludf.DUMMYFUNCTION("""COMPUTED_VALUE"""),"Fouler Jowler")</f>
        <v>Fouler Jowler</v>
      </c>
      <c r="C511" s="109" t="str">
        <f>IFERROR(__xludf.DUMMYFUNCTION("""COMPUTED_VALUE"""),"Beast")</f>
        <v>Beast</v>
      </c>
      <c r="D511" s="109">
        <f>IFERROR(__xludf.DUMMYFUNCTION("""COMPUTED_VALUE"""),1789.0)</f>
        <v>1789</v>
      </c>
      <c r="E511" s="109">
        <f>IFERROR(__xludf.DUMMYFUNCTION("""COMPUTED_VALUE"""),556.0)</f>
        <v>556</v>
      </c>
      <c r="F511" s="109" t="str">
        <f>IFERROR(__xludf.DUMMYFUNCTION("""COMPUTED_VALUE"""),"Red Wood")</f>
        <v>Red Wood</v>
      </c>
      <c r="G511" s="109" t="str">
        <f>IFERROR(__xludf.DUMMYFUNCTION("""COMPUTED_VALUE"""),"Seed of Sorcery")</f>
        <v>Seed of Sorcery</v>
      </c>
      <c r="H511" s="109" t="str">
        <f>IFERROR(__xludf.DUMMYFUNCTION("""COMPUTED_VALUE"""),"Mount Huji")</f>
        <v>Mount Huji</v>
      </c>
    </row>
    <row r="512">
      <c r="A512" s="92"/>
      <c r="B512" s="110" t="str">
        <f>IFERROR(__xludf.DUMMYFUNCTION("""COMPUTED_VALUE"""),"Badonis")</f>
        <v>Badonis</v>
      </c>
      <c r="C512" s="111" t="str">
        <f>IFERROR(__xludf.DUMMYFUNCTION("""COMPUTED_VALUE"""),"Demon")</f>
        <v>Demon</v>
      </c>
      <c r="D512" s="111">
        <f>IFERROR(__xludf.DUMMYFUNCTION("""COMPUTED_VALUE"""),3550.0)</f>
        <v>3550</v>
      </c>
      <c r="E512" s="111">
        <f>IFERROR(__xludf.DUMMYFUNCTION("""COMPUTED_VALUE"""),575.0)</f>
        <v>575</v>
      </c>
      <c r="F512" s="111" t="str">
        <f>IFERROR(__xludf.DUMMYFUNCTION("""COMPUTED_VALUE"""),"Titan Belt")</f>
        <v>Titan Belt</v>
      </c>
      <c r="G512" s="111" t="str">
        <f>IFERROR(__xludf.DUMMYFUNCTION("""COMPUTED_VALUE"""),"Heavenly Helm")</f>
        <v>Heavenly Helm</v>
      </c>
      <c r="H512" s="111" t="str">
        <f>IFERROR(__xludf.DUMMYFUNCTION("""COMPUTED_VALUE"""),"The Other Side")</f>
        <v>The Other Side</v>
      </c>
    </row>
    <row r="513">
      <c r="A513" s="95"/>
      <c r="B513" s="108" t="str">
        <f>IFERROR(__xludf.DUMMYFUNCTION("""COMPUTED_VALUE"""),"Malicious Clockwork Cuckoo")</f>
        <v>Malicious Clockwork Cuckoo</v>
      </c>
      <c r="C513" s="109" t="str">
        <f>IFERROR(__xludf.DUMMYFUNCTION("""COMPUTED_VALUE"""),"Machine")</f>
        <v>Machine</v>
      </c>
      <c r="D513" s="109">
        <f>IFERROR(__xludf.DUMMYFUNCTION("""COMPUTED_VALUE"""),1417.0)</f>
        <v>1417</v>
      </c>
      <c r="E513" s="109">
        <f>IFERROR(__xludf.DUMMYFUNCTION("""COMPUTED_VALUE"""),501.0)</f>
        <v>501</v>
      </c>
      <c r="F513" s="109" t="str">
        <f>IFERROR(__xludf.DUMMYFUNCTION("""COMPUTED_VALUE"""),"Chimaera Wing")</f>
        <v>Chimaera Wing</v>
      </c>
      <c r="G513" s="109" t="str">
        <f>IFERROR(__xludf.DUMMYFUNCTION("""COMPUTED_VALUE"""),"Silver Ore")</f>
        <v>Silver Ore</v>
      </c>
      <c r="H513" s="109" t="str">
        <f>IFERROR(__xludf.DUMMYFUNCTION("""COMPUTED_VALUE"""),"Caverns Under Octagonia")</f>
        <v>Caverns Under Octagonia</v>
      </c>
    </row>
    <row r="514">
      <c r="A514" s="92"/>
      <c r="B514" s="110" t="str">
        <f>IFERROR(__xludf.DUMMYFUNCTION("""COMPUTED_VALUE"""),"Supreme Succubat")</f>
        <v>Supreme Succubat</v>
      </c>
      <c r="C514" s="111" t="str">
        <f>IFERROR(__xludf.DUMMYFUNCTION("""COMPUTED_VALUE"""),"Bird")</f>
        <v>Bird</v>
      </c>
      <c r="D514" s="111">
        <f>IFERROR(__xludf.DUMMYFUNCTION("""COMPUTED_VALUE"""),1289.0)</f>
        <v>1289</v>
      </c>
      <c r="E514" s="111">
        <f>IFERROR(__xludf.DUMMYFUNCTION("""COMPUTED_VALUE"""),271.0)</f>
        <v>271</v>
      </c>
      <c r="F514" s="111" t="str">
        <f>IFERROR(__xludf.DUMMYFUNCTION("""COMPUTED_VALUE"""),"Love Potion")</f>
        <v>Love Potion</v>
      </c>
      <c r="G514" s="111" t="str">
        <f>IFERROR(__xludf.DUMMYFUNCTION("""COMPUTED_VALUE"""),"King Cobra Claws")</f>
        <v>King Cobra Claws</v>
      </c>
      <c r="H514" s="111" t="str">
        <f>IFERROR(__xludf.DUMMYFUNCTION("""COMPUTED_VALUE"""),"Caverns Under Octagonia, Insula Algarum")</f>
        <v>Caverns Under Octagonia, Insula Algarum</v>
      </c>
    </row>
    <row r="515">
      <c r="A515" s="95"/>
      <c r="B515" s="108" t="str">
        <f>IFERROR(__xludf.DUMMYFUNCTION("""COMPUTED_VALUE"""),"Malicious Mushroom Mage")</f>
        <v>Malicious Mushroom Mage</v>
      </c>
      <c r="C515" s="109" t="str">
        <f>IFERROR(__xludf.DUMMYFUNCTION("""COMPUTED_VALUE"""),"Nature")</f>
        <v>Nature</v>
      </c>
      <c r="D515" s="109">
        <f>IFERROR(__xludf.DUMMYFUNCTION("""COMPUTED_VALUE"""),1275.0)</f>
        <v>1275</v>
      </c>
      <c r="E515" s="109">
        <f>IFERROR(__xludf.DUMMYFUNCTION("""COMPUTED_VALUE"""),322.0)</f>
        <v>322</v>
      </c>
      <c r="F515" s="109" t="str">
        <f>IFERROR(__xludf.DUMMYFUNCTION("""COMPUTED_VALUE"""),"Belle Cap")</f>
        <v>Belle Cap</v>
      </c>
      <c r="G515" s="109" t="str">
        <f>IFERROR(__xludf.DUMMYFUNCTION("""COMPUTED_VALUE"""),"Narspicious")</f>
        <v>Narspicious</v>
      </c>
      <c r="H515" s="109" t="str">
        <f>IFERROR(__xludf.DUMMYFUNCTION("""COMPUTED_VALUE"""),"Caverns Under Octagonia")</f>
        <v>Caverns Under Octagonia</v>
      </c>
    </row>
    <row r="516">
      <c r="A516" s="92"/>
      <c r="B516" s="110" t="str">
        <f>IFERROR(__xludf.DUMMYFUNCTION("""COMPUTED_VALUE"""),"Wight King")</f>
        <v>Wight King</v>
      </c>
      <c r="C516" s="111" t="str">
        <f>IFERROR(__xludf.DUMMYFUNCTION("""COMPUTED_VALUE"""),"Undead")</f>
        <v>Undead</v>
      </c>
      <c r="D516" s="111">
        <f>IFERROR(__xludf.DUMMYFUNCTION("""COMPUTED_VALUE"""),1675.0)</f>
        <v>1675</v>
      </c>
      <c r="E516" s="111">
        <f>IFERROR(__xludf.DUMMYFUNCTION("""COMPUTED_VALUE"""),442.0)</f>
        <v>442</v>
      </c>
      <c r="F516" s="111" t="str">
        <f>IFERROR(__xludf.DUMMYFUNCTION("""COMPUTED_VALUE"""),"Saint's Ashes")</f>
        <v>Saint's Ashes</v>
      </c>
      <c r="G516" s="111" t="str">
        <f>IFERROR(__xludf.DUMMYFUNCTION("""COMPUTED_VALUE"""),"Seed of Therapeusis")</f>
        <v>Seed of Therapeusis</v>
      </c>
      <c r="H516" s="111" t="str">
        <f>IFERROR(__xludf.DUMMYFUNCTION("""COMPUTED_VALUE"""),"Caverns Under Octagonia")</f>
        <v>Caverns Under Octagonia</v>
      </c>
    </row>
    <row r="517">
      <c r="A517" s="95"/>
      <c r="B517" s="108" t="str">
        <f>IFERROR(__xludf.DUMMYFUNCTION("""COMPUTED_VALUE"""),"Malicious Abominable Showman")</f>
        <v>Malicious Abominable Showman</v>
      </c>
      <c r="C517" s="109" t="str">
        <f>IFERROR(__xludf.DUMMYFUNCTION("""COMPUTED_VALUE"""),"???")</f>
        <v>???</v>
      </c>
      <c r="D517" s="109">
        <f>IFERROR(__xludf.DUMMYFUNCTION("""COMPUTED_VALUE"""),0.0)</f>
        <v>0</v>
      </c>
      <c r="E517" s="109">
        <f>IFERROR(__xludf.DUMMYFUNCTION("""COMPUTED_VALUE"""),0.0)</f>
        <v>0</v>
      </c>
      <c r="F517" s="109" t="str">
        <f>IFERROR(__xludf.DUMMYFUNCTION("""COMPUTED_VALUE"""),"--")</f>
        <v>--</v>
      </c>
      <c r="G517" s="109" t="str">
        <f>IFERROR(__xludf.DUMMYFUNCTION("""COMPUTED_VALUE"""),"--")</f>
        <v>--</v>
      </c>
      <c r="H517" s="109" t="str">
        <f>IFERROR(__xludf.DUMMYFUNCTION("""COMPUTED_VALUE"""),"--")</f>
        <v>--</v>
      </c>
    </row>
    <row r="518">
      <c r="A518" s="92"/>
      <c r="B518" s="110" t="str">
        <f>IFERROR(__xludf.DUMMYFUNCTION("""COMPUTED_VALUE"""),"Malicious Underdigger")</f>
        <v>Malicious Underdigger</v>
      </c>
      <c r="C518" s="111" t="str">
        <f>IFERROR(__xludf.DUMMYFUNCTION("""COMPUTED_VALUE"""),"???")</f>
        <v>???</v>
      </c>
      <c r="D518" s="111">
        <f>IFERROR(__xludf.DUMMYFUNCTION("""COMPUTED_VALUE"""),0.0)</f>
        <v>0</v>
      </c>
      <c r="E518" s="111">
        <f>IFERROR(__xludf.DUMMYFUNCTION("""COMPUTED_VALUE"""),0.0)</f>
        <v>0</v>
      </c>
      <c r="F518" s="111" t="str">
        <f>IFERROR(__xludf.DUMMYFUNCTION("""COMPUTED_VALUE"""),"--")</f>
        <v>--</v>
      </c>
      <c r="G518" s="111" t="str">
        <f>IFERROR(__xludf.DUMMYFUNCTION("""COMPUTED_VALUE"""),"--")</f>
        <v>--</v>
      </c>
      <c r="H518" s="111" t="str">
        <f>IFERROR(__xludf.DUMMYFUNCTION("""COMPUTED_VALUE"""),"--")</f>
        <v>--</v>
      </c>
    </row>
    <row r="519">
      <c r="A519" s="95"/>
      <c r="B519" s="108" t="str">
        <f>IFERROR(__xludf.DUMMYFUNCTION("""COMPUTED_VALUE"""),"Mallicious Sinderella")</f>
        <v>Mallicious Sinderella</v>
      </c>
      <c r="C519" s="109" t="str">
        <f>IFERROR(__xludf.DUMMYFUNCTION("""COMPUTED_VALUE"""),"???")</f>
        <v>???</v>
      </c>
      <c r="D519" s="109">
        <f>IFERROR(__xludf.DUMMYFUNCTION("""COMPUTED_VALUE"""),0.0)</f>
        <v>0</v>
      </c>
      <c r="E519" s="109">
        <f>IFERROR(__xludf.DUMMYFUNCTION("""COMPUTED_VALUE"""),0.0)</f>
        <v>0</v>
      </c>
      <c r="F519" s="109" t="str">
        <f>IFERROR(__xludf.DUMMYFUNCTION("""COMPUTED_VALUE"""),"--")</f>
        <v>--</v>
      </c>
      <c r="G519" s="109" t="str">
        <f>IFERROR(__xludf.DUMMYFUNCTION("""COMPUTED_VALUE"""),"--")</f>
        <v>--</v>
      </c>
      <c r="H519" s="109" t="str">
        <f>IFERROR(__xludf.DUMMYFUNCTION("""COMPUTED_VALUE"""),"--")</f>
        <v>--</v>
      </c>
    </row>
    <row r="520">
      <c r="A520" s="92"/>
      <c r="B520" s="110" t="str">
        <f>IFERROR(__xludf.DUMMYFUNCTION("""COMPUTED_VALUE"""),"Malicious Whambelina")</f>
        <v>Malicious Whambelina</v>
      </c>
      <c r="C520" s="111" t="str">
        <f>IFERROR(__xludf.DUMMYFUNCTION("""COMPUTED_VALUE"""),"???")</f>
        <v>???</v>
      </c>
      <c r="D520" s="111">
        <f>IFERROR(__xludf.DUMMYFUNCTION("""COMPUTED_VALUE"""),0.0)</f>
        <v>0</v>
      </c>
      <c r="E520" s="111">
        <f>IFERROR(__xludf.DUMMYFUNCTION("""COMPUTED_VALUE"""),0.0)</f>
        <v>0</v>
      </c>
      <c r="F520" s="111" t="str">
        <f>IFERROR(__xludf.DUMMYFUNCTION("""COMPUTED_VALUE"""),"--")</f>
        <v>--</v>
      </c>
      <c r="G520" s="111" t="str">
        <f>IFERROR(__xludf.DUMMYFUNCTION("""COMPUTED_VALUE"""),"--")</f>
        <v>--</v>
      </c>
      <c r="H520" s="111" t="str">
        <f>IFERROR(__xludf.DUMMYFUNCTION("""COMPUTED_VALUE"""),"--")</f>
        <v>--</v>
      </c>
    </row>
    <row r="521">
      <c r="A521" s="95"/>
      <c r="B521" s="108" t="str">
        <f>IFERROR(__xludf.DUMMYFUNCTION("""COMPUTED_VALUE"""),"Malicious Golden Boy")</f>
        <v>Malicious Golden Boy</v>
      </c>
      <c r="C521" s="109" t="str">
        <f>IFERROR(__xludf.DUMMYFUNCTION("""COMPUTED_VALUE"""),"???")</f>
        <v>???</v>
      </c>
      <c r="D521" s="109">
        <f>IFERROR(__xludf.DUMMYFUNCTION("""COMPUTED_VALUE"""),0.0)</f>
        <v>0</v>
      </c>
      <c r="E521" s="109">
        <f>IFERROR(__xludf.DUMMYFUNCTION("""COMPUTED_VALUE"""),0.0)</f>
        <v>0</v>
      </c>
      <c r="F521" s="109" t="str">
        <f>IFERROR(__xludf.DUMMYFUNCTION("""COMPUTED_VALUE"""),"--")</f>
        <v>--</v>
      </c>
      <c r="G521" s="109" t="str">
        <f>IFERROR(__xludf.DUMMYFUNCTION("""COMPUTED_VALUE"""),"--")</f>
        <v>--</v>
      </c>
      <c r="H521" s="109" t="str">
        <f>IFERROR(__xludf.DUMMYFUNCTION("""COMPUTED_VALUE"""),"--")</f>
        <v>--</v>
      </c>
    </row>
    <row r="522">
      <c r="A522" s="92"/>
      <c r="B522" s="110" t="str">
        <f>IFERROR(__xludf.DUMMYFUNCTION("""COMPUTED_VALUE"""),"Malicious Arachtagon")</f>
        <v>Malicious Arachtagon</v>
      </c>
      <c r="C522" s="111" t="str">
        <f>IFERROR(__xludf.DUMMYFUNCTION("""COMPUTED_VALUE"""),"Nature")</f>
        <v>Nature</v>
      </c>
      <c r="D522" s="111">
        <f>IFERROR(__xludf.DUMMYFUNCTION("""COMPUTED_VALUE"""),44000.0)</f>
        <v>44000</v>
      </c>
      <c r="E522" s="111">
        <f>IFERROR(__xludf.DUMMYFUNCTION("""COMPUTED_VALUE"""),14000.0)</f>
        <v>14000</v>
      </c>
      <c r="F522" s="111" t="str">
        <f>IFERROR(__xludf.DUMMYFUNCTION("""COMPUTED_VALUE"""),"--")</f>
        <v>--</v>
      </c>
      <c r="G522" s="111" t="str">
        <f>IFERROR(__xludf.DUMMYFUNCTION("""COMPUTED_VALUE"""),"--")</f>
        <v>--</v>
      </c>
      <c r="H522" s="111" t="str">
        <f>IFERROR(__xludf.DUMMYFUNCTION("""COMPUTED_VALUE"""),"--")</f>
        <v>--</v>
      </c>
    </row>
    <row r="523">
      <c r="A523" s="95"/>
      <c r="B523" s="108" t="str">
        <f>IFERROR(__xludf.DUMMYFUNCTION("""COMPUTED_VALUE"""),"Abyssal Octopot")</f>
        <v>Abyssal Octopot</v>
      </c>
      <c r="C523" s="109" t="str">
        <f>IFERROR(__xludf.DUMMYFUNCTION("""COMPUTED_VALUE"""),"Nature")</f>
        <v>Nature</v>
      </c>
      <c r="D523" s="109">
        <f>IFERROR(__xludf.DUMMYFUNCTION("""COMPUTED_VALUE"""),1145.0)</f>
        <v>1145</v>
      </c>
      <c r="E523" s="109">
        <f>IFERROR(__xludf.DUMMYFUNCTION("""COMPUTED_VALUE"""),302.0)</f>
        <v>302</v>
      </c>
      <c r="F523" s="109" t="str">
        <f>IFERROR(__xludf.DUMMYFUNCTION("""COMPUTED_VALUE"""),"Densinium")</f>
        <v>Densinium</v>
      </c>
      <c r="G523" s="109" t="str">
        <f>IFERROR(__xludf.DUMMYFUNCTION("""COMPUTED_VALUE"""),"Savvy Sapphire")</f>
        <v>Savvy Sapphire</v>
      </c>
      <c r="H523" s="109" t="str">
        <f>IFERROR(__xludf.DUMMYFUNCTION("""COMPUTED_VALUE"""),"Insula Borealis, The Sea (Outer - North)")</f>
        <v>Insula Borealis, The Sea (Outer - North)</v>
      </c>
    </row>
    <row r="524">
      <c r="A524" s="92"/>
      <c r="B524" s="110" t="str">
        <f>IFERROR(__xludf.DUMMYFUNCTION("""COMPUTED_VALUE"""),"Squidzilla")</f>
        <v>Squidzilla</v>
      </c>
      <c r="C524" s="111" t="str">
        <f>IFERROR(__xludf.DUMMYFUNCTION("""COMPUTED_VALUE"""),"Nature")</f>
        <v>Nature</v>
      </c>
      <c r="D524" s="111">
        <f>IFERROR(__xludf.DUMMYFUNCTION("""COMPUTED_VALUE"""),7200.0)</f>
        <v>7200</v>
      </c>
      <c r="E524" s="111">
        <f>IFERROR(__xludf.DUMMYFUNCTION("""COMPUTED_VALUE"""),1200.0)</f>
        <v>1200</v>
      </c>
      <c r="F524" s="111" t="str">
        <f>IFERROR(__xludf.DUMMYFUNCTION("""COMPUTED_VALUE"""),"Uber Agate of Evolution")</f>
        <v>Uber Agate of Evolution</v>
      </c>
      <c r="G524" s="111" t="str">
        <f>IFERROR(__xludf.DUMMYFUNCTION("""COMPUTED_VALUE"""),"Orichalcum")</f>
        <v>Orichalcum</v>
      </c>
      <c r="H524" s="111" t="str">
        <f>IFERROR(__xludf.DUMMYFUNCTION("""COMPUTED_VALUE"""),"The Sea (Outer - North)")</f>
        <v>The Sea (Outer - North)</v>
      </c>
    </row>
    <row r="525">
      <c r="A525" s="95"/>
      <c r="B525" s="108" t="str">
        <f>IFERROR(__xludf.DUMMYFUNCTION("""COMPUTED_VALUE"""),"Crushtacean")</f>
        <v>Crushtacean</v>
      </c>
      <c r="C525" s="109" t="str">
        <f>IFERROR(__xludf.DUMMYFUNCTION("""COMPUTED_VALUE"""),"Nature")</f>
        <v>Nature</v>
      </c>
      <c r="D525" s="109">
        <f>IFERROR(__xludf.DUMMYFUNCTION("""COMPUTED_VALUE"""),3203.0)</f>
        <v>3203</v>
      </c>
      <c r="E525" s="109">
        <f>IFERROR(__xludf.DUMMYFUNCTION("""COMPUTED_VALUE"""),464.0)</f>
        <v>464</v>
      </c>
      <c r="F525" s="109" t="str">
        <f>IFERROR(__xludf.DUMMYFUNCTION("""COMPUTED_VALUE"""),"Pitch Pearl")</f>
        <v>Pitch Pearl</v>
      </c>
      <c r="G525" s="109" t="str">
        <f>IFERROR(__xludf.DUMMYFUNCTION("""COMPUTED_VALUE"""),"Spectralite")</f>
        <v>Spectralite</v>
      </c>
      <c r="H525" s="109" t="str">
        <f>IFERROR(__xludf.DUMMYFUNCTION("""COMPUTED_VALUE"""),"Insula Borealis, The Sea (Outer - North)")</f>
        <v>Insula Borealis, The Sea (Outer - North)</v>
      </c>
    </row>
    <row r="526">
      <c r="A526" s="92"/>
      <c r="B526" s="110" t="str">
        <f>IFERROR(__xludf.DUMMYFUNCTION("""COMPUTED_VALUE"""),"Malicious Chillanadon")</f>
        <v>Malicious Chillanadon</v>
      </c>
      <c r="C526" s="111" t="str">
        <f>IFERROR(__xludf.DUMMYFUNCTION("""COMPUTED_VALUE"""),"Bird")</f>
        <v>Bird</v>
      </c>
      <c r="D526" s="111">
        <f>IFERROR(__xludf.DUMMYFUNCTION("""COMPUTED_VALUE"""),1609.0)</f>
        <v>1609</v>
      </c>
      <c r="E526" s="111">
        <f>IFERROR(__xludf.DUMMYFUNCTION("""COMPUTED_VALUE"""),283.0)</f>
        <v>283</v>
      </c>
      <c r="F526" s="111" t="str">
        <f>IFERROR(__xludf.DUMMYFUNCTION("""COMPUTED_VALUE"""),"Ice Crystal")</f>
        <v>Ice Crystal</v>
      </c>
      <c r="G526" s="111" t="str">
        <f>IFERROR(__xludf.DUMMYFUNCTION("""COMPUTED_VALUE"""),"Seed of Deftness")</f>
        <v>Seed of Deftness</v>
      </c>
      <c r="H526" s="111" t="str">
        <f>IFERROR(__xludf.DUMMYFUNCTION("""COMPUTED_VALUE"""),"The Snaerfelt, The Sea (Outer - North)")</f>
        <v>The Snaerfelt, The Sea (Outer - North)</v>
      </c>
    </row>
    <row r="527">
      <c r="A527" s="95"/>
      <c r="B527" s="108" t="str">
        <f>IFERROR(__xludf.DUMMYFUNCTION("""COMPUTED_VALUE"""),"Malicious She-Slime")</f>
        <v>Malicious She-Slime</v>
      </c>
      <c r="C527" s="109" t="str">
        <f>IFERROR(__xludf.DUMMYFUNCTION("""COMPUTED_VALUE"""),"Slime")</f>
        <v>Slime</v>
      </c>
      <c r="D527" s="109">
        <f>IFERROR(__xludf.DUMMYFUNCTION("""COMPUTED_VALUE"""),668.0)</f>
        <v>668</v>
      </c>
      <c r="E527" s="109">
        <f>IFERROR(__xludf.DUMMYFUNCTION("""COMPUTED_VALUE"""),274.0)</f>
        <v>274</v>
      </c>
      <c r="F527" s="109" t="str">
        <f>IFERROR(__xludf.DUMMYFUNCTION("""COMPUTED_VALUE"""),"Special Medicine")</f>
        <v>Special Medicine</v>
      </c>
      <c r="G527" s="109" t="str">
        <f>IFERROR(__xludf.DUMMYFUNCTION("""COMPUTED_VALUE"""),"Slimedrop")</f>
        <v>Slimedrop</v>
      </c>
      <c r="H527" s="109" t="str">
        <f>IFERROR(__xludf.DUMMYFUNCTION("""COMPUTED_VALUE"""),"The Hotto Steppe, Insula Orientalis")</f>
        <v>The Hotto Steppe, Insula Orientalis</v>
      </c>
    </row>
    <row r="528">
      <c r="A528" s="98"/>
      <c r="B528" s="110" t="str">
        <f>IFERROR(__xludf.DUMMYFUNCTION("""COMPUTED_VALUE"""),"Malicious Sprite Bulb")</f>
        <v>Malicious Sprite Bulb</v>
      </c>
      <c r="C528" s="111" t="str">
        <f>IFERROR(__xludf.DUMMYFUNCTION("""COMPUTED_VALUE"""),"Slime")</f>
        <v>Slime</v>
      </c>
      <c r="D528" s="111">
        <f>IFERROR(__xludf.DUMMYFUNCTION("""COMPUTED_VALUE"""),979.0)</f>
        <v>979</v>
      </c>
      <c r="E528" s="111">
        <f>IFERROR(__xludf.DUMMYFUNCTION("""COMPUTED_VALUE"""),238.0)</f>
        <v>238</v>
      </c>
      <c r="F528" s="111" t="str">
        <f>IFERROR(__xludf.DUMMYFUNCTION("""COMPUTED_VALUE"""),"Superior Medicine")</f>
        <v>Superior Medicine</v>
      </c>
      <c r="G528" s="111" t="str">
        <f>IFERROR(__xludf.DUMMYFUNCTION("""COMPUTED_VALUE"""),"Wristorative")</f>
        <v>Wristorative</v>
      </c>
      <c r="H528" s="111" t="str">
        <f>IFERROR(__xludf.DUMMYFUNCTION("""COMPUTED_VALUE"""),"Insula Orientalis, Sniflheim Region")</f>
        <v>Insula Orientalis, Sniflheim Region</v>
      </c>
    </row>
    <row r="529">
      <c r="A529" s="107" t="str">
        <f>IFERROR(__xludf.DUMMYFUNCTION("""COMPUTED_VALUE"""),"P27")</f>
        <v>P27</v>
      </c>
      <c r="B529" s="108" t="str">
        <f>IFERROR(__xludf.DUMMYFUNCTION("""COMPUTED_VALUE"""),"Malicious Elysium Bird")</f>
        <v>Malicious Elysium Bird</v>
      </c>
      <c r="C529" s="109" t="str">
        <f>IFERROR(__xludf.DUMMYFUNCTION("""COMPUTED_VALUE"""),"Bird")</f>
        <v>Bird</v>
      </c>
      <c r="D529" s="109">
        <f>IFERROR(__xludf.DUMMYFUNCTION("""COMPUTED_VALUE"""),1513.0)</f>
        <v>1513</v>
      </c>
      <c r="E529" s="109">
        <f>IFERROR(__xludf.DUMMYFUNCTION("""COMPUTED_VALUE"""),294.0)</f>
        <v>294</v>
      </c>
      <c r="F529" s="109" t="str">
        <f>IFERROR(__xludf.DUMMYFUNCTION("""COMPUTED_VALUE"""),"Eagle Dagger")</f>
        <v>Eagle Dagger</v>
      </c>
      <c r="G529" s="109" t="str">
        <f>IFERROR(__xludf.DUMMYFUNCTION("""COMPUTED_VALUE"""),"Ruby of Protection")</f>
        <v>Ruby of Protection</v>
      </c>
      <c r="H529" s="109" t="str">
        <f>IFERROR(__xludf.DUMMYFUNCTION("""COMPUTED_VALUE"""),"Insula Algarum, The Eerie Eyrie")</f>
        <v>Insula Algarum, The Eerie Eyrie</v>
      </c>
    </row>
    <row r="530">
      <c r="A530" s="92"/>
      <c r="B530" s="110" t="str">
        <f>IFERROR(__xludf.DUMMYFUNCTION("""COMPUTED_VALUE"""),"Malicious Dragon Rider")</f>
        <v>Malicious Dragon Rider</v>
      </c>
      <c r="C530" s="111" t="str">
        <f>IFERROR(__xludf.DUMMYFUNCTION("""COMPUTED_VALUE"""),"Dragon")</f>
        <v>Dragon</v>
      </c>
      <c r="D530" s="111">
        <f>IFERROR(__xludf.DUMMYFUNCTION("""COMPUTED_VALUE"""),1355.0)</f>
        <v>1355</v>
      </c>
      <c r="E530" s="111">
        <f>IFERROR(__xludf.DUMMYFUNCTION("""COMPUTED_VALUE"""),340.0)</f>
        <v>340</v>
      </c>
      <c r="F530" s="111" t="str">
        <f>IFERROR(__xludf.DUMMYFUNCTION("""COMPUTED_VALUE"""),"Dragon Horn")</f>
        <v>Dragon Horn</v>
      </c>
      <c r="G530" s="111" t="str">
        <f>IFERROR(__xludf.DUMMYFUNCTION("""COMPUTED_VALUE"""),"Dragonsbane")</f>
        <v>Dragonsbane</v>
      </c>
      <c r="H530" s="111" t="str">
        <f>IFERROR(__xludf.DUMMYFUNCTION("""COMPUTED_VALUE"""),"Insula Algarum, Mount Pang Lai")</f>
        <v>Insula Algarum, Mount Pang Lai</v>
      </c>
    </row>
    <row r="531">
      <c r="A531" s="95"/>
      <c r="B531" s="108" t="str">
        <f>IFERROR(__xludf.DUMMYFUNCTION("""COMPUTED_VALUE"""),"Malicious Stone Guardian")</f>
        <v>Malicious Stone Guardian</v>
      </c>
      <c r="C531" s="109" t="str">
        <f>IFERROR(__xludf.DUMMYFUNCTION("""COMPUTED_VALUE"""),"Material")</f>
        <v>Material</v>
      </c>
      <c r="D531" s="109">
        <f>IFERROR(__xludf.DUMMYFUNCTION("""COMPUTED_VALUE"""),3097.0)</f>
        <v>3097</v>
      </c>
      <c r="E531" s="109">
        <f>IFERROR(__xludf.DUMMYFUNCTION("""COMPUTED_VALUE"""),711.0)</f>
        <v>711</v>
      </c>
      <c r="F531" s="109" t="str">
        <f>IFERROR(__xludf.DUMMYFUNCTION("""COMPUTED_VALUE"""),"Dieamend")</f>
        <v>Dieamend</v>
      </c>
      <c r="G531" s="109" t="str">
        <f>IFERROR(__xludf.DUMMYFUNCTION("""COMPUTED_VALUE"""),"Mighty Armlet")</f>
        <v>Mighty Armlet</v>
      </c>
      <c r="H531" s="109" t="str">
        <f>IFERROR(__xludf.DUMMYFUNCTION("""COMPUTED_VALUE"""),"Insula Centralis")</f>
        <v>Insula Centralis</v>
      </c>
    </row>
    <row r="532">
      <c r="A532" s="92"/>
      <c r="B532" s="110" t="str">
        <f>IFERROR(__xludf.DUMMYFUNCTION("""COMPUTED_VALUE"""),"Bingo Bango Bongo")</f>
        <v>Bingo Bango Bongo</v>
      </c>
      <c r="C532" s="111" t="str">
        <f>IFERROR(__xludf.DUMMYFUNCTION("""COMPUTED_VALUE"""),"Material")</f>
        <v>Material</v>
      </c>
      <c r="D532" s="111">
        <f>IFERROR(__xludf.DUMMYFUNCTION("""COMPUTED_VALUE"""),1800.0)</f>
        <v>1800</v>
      </c>
      <c r="E532" s="111">
        <f>IFERROR(__xludf.DUMMYFUNCTION("""COMPUTED_VALUE"""),460.0)</f>
        <v>460</v>
      </c>
      <c r="F532" s="111" t="str">
        <f>IFERROR(__xludf.DUMMYFUNCTION("""COMPUTED_VALUE"""),"Fatalistick")</f>
        <v>Fatalistick</v>
      </c>
      <c r="G532" s="111" t="str">
        <f>IFERROR(__xludf.DUMMYFUNCTION("""COMPUTED_VALUE"""),"Night Stick")</f>
        <v>Night Stick</v>
      </c>
      <c r="H532" s="111" t="str">
        <f>IFERROR(__xludf.DUMMYFUNCTION("""COMPUTED_VALUE"""),"The Hotto Steppe, Insula Centralis")</f>
        <v>The Hotto Steppe, Insula Centralis</v>
      </c>
    </row>
    <row r="533">
      <c r="A533" s="95"/>
      <c r="B533" s="108" t="str">
        <f>IFERROR(__xludf.DUMMYFUNCTION("""COMPUTED_VALUE"""),"Malicious Dragooner")</f>
        <v>Malicious Dragooner</v>
      </c>
      <c r="C533" s="109" t="str">
        <f>IFERROR(__xludf.DUMMYFUNCTION("""COMPUTED_VALUE"""),"Dragon")</f>
        <v>Dragon</v>
      </c>
      <c r="D533" s="109">
        <f>IFERROR(__xludf.DUMMYFUNCTION("""COMPUTED_VALUE"""),1478.0)</f>
        <v>1478</v>
      </c>
      <c r="E533" s="109">
        <f>IFERROR(__xludf.DUMMYFUNCTION("""COMPUTED_VALUE"""),380.0)</f>
        <v>380</v>
      </c>
      <c r="F533" s="109" t="str">
        <f>IFERROR(__xludf.DUMMYFUNCTION("""COMPUTED_VALUE"""),"Dragon Horn")</f>
        <v>Dragon Horn</v>
      </c>
      <c r="G533" s="109" t="str">
        <f>IFERROR(__xludf.DUMMYFUNCTION("""COMPUTED_VALUE"""),"Wyrmfang")</f>
        <v>Wyrmfang</v>
      </c>
      <c r="H533" s="109" t="str">
        <f>IFERROR(__xludf.DUMMYFUNCTION("""COMPUTED_VALUE"""),"Insula Centralis, The Battleground")</f>
        <v>Insula Centralis, The Battleground</v>
      </c>
    </row>
    <row r="534">
      <c r="A534" s="92"/>
      <c r="B534" s="110" t="str">
        <f>IFERROR(__xludf.DUMMYFUNCTION("""COMPUTED_VALUE"""),"Malicious Gleeful Grublin")</f>
        <v>Malicious Gleeful Grublin</v>
      </c>
      <c r="C534" s="111" t="str">
        <f>IFERROR(__xludf.DUMMYFUNCTION("""COMPUTED_VALUE"""),"Humanoid")</f>
        <v>Humanoid</v>
      </c>
      <c r="D534" s="111">
        <f>IFERROR(__xludf.DUMMYFUNCTION("""COMPUTED_VALUE"""),1424.0)</f>
        <v>1424</v>
      </c>
      <c r="E534" s="111">
        <f>IFERROR(__xludf.DUMMYFUNCTION("""COMPUTED_VALUE"""),345.0)</f>
        <v>345</v>
      </c>
      <c r="F534" s="111" t="str">
        <f>IFERROR(__xludf.DUMMYFUNCTION("""COMPUTED_VALUE"""),"Bastard Sword")</f>
        <v>Bastard Sword</v>
      </c>
      <c r="G534" s="111" t="str">
        <f>IFERROR(__xludf.DUMMYFUNCTION("""COMPUTED_VALUE"""),"Magic Shield")</f>
        <v>Magic Shield</v>
      </c>
      <c r="H534" s="111" t="str">
        <f>IFERROR(__xludf.DUMMYFUNCTION("""COMPUTED_VALUE"""),"Mount Pang Lai")</f>
        <v>Mount Pang Lai</v>
      </c>
    </row>
    <row r="535">
      <c r="A535" s="95"/>
      <c r="B535" s="108" t="str">
        <f>IFERROR(__xludf.DUMMYFUNCTION("""COMPUTED_VALUE"""),"Malicious Orc King")</f>
        <v>Malicious Orc King</v>
      </c>
      <c r="C535" s="109" t="str">
        <f>IFERROR(__xludf.DUMMYFUNCTION("""COMPUTED_VALUE"""),"Beast")</f>
        <v>Beast</v>
      </c>
      <c r="D535" s="109">
        <f>IFERROR(__xludf.DUMMYFUNCTION("""COMPUTED_VALUE"""),1339.0)</f>
        <v>1339</v>
      </c>
      <c r="E535" s="109">
        <f>IFERROR(__xludf.DUMMYFUNCTION("""COMPUTED_VALUE"""),271.0)</f>
        <v>271</v>
      </c>
      <c r="F535" s="109" t="str">
        <f>IFERROR(__xludf.DUMMYFUNCTION("""COMPUTED_VALUE"""),"Magic Beast Hide")</f>
        <v>Magic Beast Hide</v>
      </c>
      <c r="G535" s="109" t="str">
        <f>IFERROR(__xludf.DUMMYFUNCTION("""COMPUTED_VALUE"""),"Platinum Lance")</f>
        <v>Platinum Lance</v>
      </c>
      <c r="H535" s="109" t="str">
        <f>IFERROR(__xludf.DUMMYFUNCTION("""COMPUTED_VALUE"""),"The Hekswood, Mount Pang Lai")</f>
        <v>The Hekswood, Mount Pang Lai</v>
      </c>
    </row>
    <row r="536">
      <c r="A536" s="92"/>
      <c r="B536" s="110" t="str">
        <f>IFERROR(__xludf.DUMMYFUNCTION("""COMPUTED_VALUE"""),"Malicious Rockbomb")</f>
        <v>Malicious Rockbomb</v>
      </c>
      <c r="C536" s="111" t="str">
        <f>IFERROR(__xludf.DUMMYFUNCTION("""COMPUTED_VALUE"""),"Material")</f>
        <v>Material</v>
      </c>
      <c r="D536" s="111">
        <f>IFERROR(__xludf.DUMMYFUNCTION("""COMPUTED_VALUE"""),1581.0)</f>
        <v>1581</v>
      </c>
      <c r="E536" s="111">
        <f>IFERROR(__xludf.DUMMYFUNCTION("""COMPUTED_VALUE"""),355.0)</f>
        <v>355</v>
      </c>
      <c r="F536" s="111" t="str">
        <f>IFERROR(__xludf.DUMMYFUNCTION("""COMPUTED_VALUE"""),"Lava Lump")</f>
        <v>Lava Lump</v>
      </c>
      <c r="G536" s="111" t="str">
        <f>IFERROR(__xludf.DUMMYFUNCTION("""COMPUTED_VALUE"""),"Rockbomb Shard")</f>
        <v>Rockbomb Shard</v>
      </c>
      <c r="H536" s="111" t="str">
        <f>IFERROR(__xludf.DUMMYFUNCTION("""COMPUTED_VALUE"""),"Mount Pang Lai")</f>
        <v>Mount Pang Lai</v>
      </c>
    </row>
    <row r="537">
      <c r="A537" s="95"/>
      <c r="B537" s="108" t="str">
        <f>IFERROR(__xludf.DUMMYFUNCTION("""COMPUTED_VALUE"""),"Malicious Balhib")</f>
        <v>Malicious Balhib</v>
      </c>
      <c r="C537" s="109" t="str">
        <f>IFERROR(__xludf.DUMMYFUNCTION("""COMPUTED_VALUE"""),"Demon")</f>
        <v>Demon</v>
      </c>
      <c r="D537" s="109">
        <f>IFERROR(__xludf.DUMMYFUNCTION("""COMPUTED_VALUE"""),3035.0)</f>
        <v>3035</v>
      </c>
      <c r="E537" s="109">
        <f>IFERROR(__xludf.DUMMYFUNCTION("""COMPUTED_VALUE"""),823.0)</f>
        <v>823</v>
      </c>
      <c r="F537" s="109" t="str">
        <f>IFERROR(__xludf.DUMMYFUNCTION("""COMPUTED_VALUE"""),"Drasilian Sovereign")</f>
        <v>Drasilian Sovereign</v>
      </c>
      <c r="G537" s="109" t="str">
        <f>IFERROR(__xludf.DUMMYFUNCTION("""COMPUTED_VALUE"""),"Gold Bar")</f>
        <v>Gold Bar</v>
      </c>
      <c r="H537" s="109" t="str">
        <f>IFERROR(__xludf.DUMMYFUNCTION("""COMPUTED_VALUE"""),"Gallopolis Region, Mount Pang Lai")</f>
        <v>Gallopolis Region, Mount Pang Lai</v>
      </c>
    </row>
    <row r="538">
      <c r="A538" s="92"/>
      <c r="B538" s="110" t="str">
        <f>IFERROR(__xludf.DUMMYFUNCTION("""COMPUTED_VALUE"""),"Malicious Honeyhead Horknight")</f>
        <v>Malicious Honeyhead Horknight</v>
      </c>
      <c r="C538" s="111" t="str">
        <f>IFERROR(__xludf.DUMMYFUNCTION("""COMPUTED_VALUE"""),"Humanoid")</f>
        <v>Humanoid</v>
      </c>
      <c r="D538" s="111">
        <f>IFERROR(__xludf.DUMMYFUNCTION("""COMPUTED_VALUE"""),1486.0)</f>
        <v>1486</v>
      </c>
      <c r="E538" s="111">
        <f>IFERROR(__xludf.DUMMYFUNCTION("""COMPUTED_VALUE"""),296.0)</f>
        <v>296</v>
      </c>
      <c r="F538" s="111" t="str">
        <f>IFERROR(__xludf.DUMMYFUNCTION("""COMPUTED_VALUE"""),"Colourful Cocoon")</f>
        <v>Colourful Cocoon</v>
      </c>
      <c r="G538" s="111" t="str">
        <f>IFERROR(__xludf.DUMMYFUNCTION("""COMPUTED_VALUE"""),"Platinum Lance")</f>
        <v>Platinum Lance</v>
      </c>
      <c r="H538" s="111" t="str">
        <f>IFERROR(__xludf.DUMMYFUNCTION("""COMPUTED_VALUE"""),"The Champs Sauvage, Mount Pang Lai")</f>
        <v>The Champs Sauvage, Mount Pang Lai</v>
      </c>
    </row>
    <row r="539">
      <c r="A539" s="95"/>
      <c r="B539" s="108" t="str">
        <f>IFERROR(__xludf.DUMMYFUNCTION("""COMPUTED_VALUE"""),"Malicious Tantamount")</f>
        <v>Malicious Tantamount</v>
      </c>
      <c r="C539" s="109" t="str">
        <f>IFERROR(__xludf.DUMMYFUNCTION("""COMPUTED_VALUE"""),"Beast")</f>
        <v>Beast</v>
      </c>
      <c r="D539" s="109">
        <f>IFERROR(__xludf.DUMMYFUNCTION("""COMPUTED_VALUE"""),1607.0)</f>
        <v>1607</v>
      </c>
      <c r="E539" s="109">
        <f>IFERROR(__xludf.DUMMYFUNCTION("""COMPUTED_VALUE"""),271.0)</f>
        <v>271</v>
      </c>
      <c r="F539" s="109" t="str">
        <f>IFERROR(__xludf.DUMMYFUNCTION("""COMPUTED_VALUE"""),"Horse Manure")</f>
        <v>Horse Manure</v>
      </c>
      <c r="G539" s="109" t="str">
        <f>IFERROR(__xludf.DUMMYFUNCTION("""COMPUTED_VALUE"""),"Skysteed Sword")</f>
        <v>Skysteed Sword</v>
      </c>
      <c r="H539" s="109" t="str">
        <f>IFERROR(__xludf.DUMMYFUNCTION("""COMPUTED_VALUE"""),"Mount Pang Lai")</f>
        <v>Mount Pang Lai</v>
      </c>
    </row>
    <row r="540">
      <c r="A540" s="92"/>
      <c r="B540" s="110" t="str">
        <f>IFERROR(__xludf.DUMMYFUNCTION("""COMPUTED_VALUE"""),"Malicious Whirly Girly")</f>
        <v>Malicious Whirly Girly</v>
      </c>
      <c r="C540" s="111" t="str">
        <f>IFERROR(__xludf.DUMMYFUNCTION("""COMPUTED_VALUE"""),"Elemental")</f>
        <v>Elemental</v>
      </c>
      <c r="D540" s="111">
        <f>IFERROR(__xludf.DUMMYFUNCTION("""COMPUTED_VALUE"""),1566.0)</f>
        <v>1566</v>
      </c>
      <c r="E540" s="111">
        <f>IFERROR(__xludf.DUMMYFUNCTION("""COMPUTED_VALUE"""),337.0)</f>
        <v>337</v>
      </c>
      <c r="F540" s="111" t="str">
        <f>IFERROR(__xludf.DUMMYFUNCTION("""COMPUTED_VALUE"""),"Hermes' Hat")</f>
        <v>Hermes' Hat</v>
      </c>
      <c r="G540" s="111" t="str">
        <f>IFERROR(__xludf.DUMMYFUNCTION("""COMPUTED_VALUE"""),"Pretty Betsy")</f>
        <v>Pretty Betsy</v>
      </c>
      <c r="H540" s="111" t="str">
        <f>IFERROR(__xludf.DUMMYFUNCTION("""COMPUTED_VALUE"""),"Sniflheim Region")</f>
        <v>Sniflheim Region</v>
      </c>
    </row>
    <row r="541">
      <c r="A541" s="95"/>
      <c r="B541" s="108" t="str">
        <f>IFERROR(__xludf.DUMMYFUNCTION("""COMPUTED_VALUE"""),"Headless Norseman")</f>
        <v>Headless Norseman</v>
      </c>
      <c r="C541" s="109" t="str">
        <f>IFERROR(__xludf.DUMMYFUNCTION("""COMPUTED_VALUE"""),"Undead")</f>
        <v>Undead</v>
      </c>
      <c r="D541" s="109">
        <f>IFERROR(__xludf.DUMMYFUNCTION("""COMPUTED_VALUE"""),1880.0)</f>
        <v>1880</v>
      </c>
      <c r="E541" s="109">
        <f>IFERROR(__xludf.DUMMYFUNCTION("""COMPUTED_VALUE"""),476.0)</f>
        <v>476</v>
      </c>
      <c r="F541" s="109" t="str">
        <f>IFERROR(__xludf.DUMMYFUNCTION("""COMPUTED_VALUE"""),"Agate of Evolution")</f>
        <v>Agate of Evolution</v>
      </c>
      <c r="G541" s="109" t="str">
        <f>IFERROR(__xludf.DUMMYFUNCTION("""COMPUTED_VALUE"""),"Ruinous Shield")</f>
        <v>Ruinous Shield</v>
      </c>
      <c r="H541" s="109" t="str">
        <f>IFERROR(__xludf.DUMMYFUNCTION("""COMPUTED_VALUE"""),"Sniflheim Region, The Snaerfelt")</f>
        <v>Sniflheim Region, The Snaerfelt</v>
      </c>
    </row>
    <row r="542">
      <c r="A542" s="92"/>
      <c r="B542" s="110" t="str">
        <f>IFERROR(__xludf.DUMMYFUNCTION("""COMPUTED_VALUE"""),"Malicious Blue Dragon")</f>
        <v>Malicious Blue Dragon</v>
      </c>
      <c r="C542" s="111" t="str">
        <f>IFERROR(__xludf.DUMMYFUNCTION("""COMPUTED_VALUE"""),"Dragon")</f>
        <v>Dragon</v>
      </c>
      <c r="D542" s="111">
        <f>IFERROR(__xludf.DUMMYFUNCTION("""COMPUTED_VALUE"""),4620.0)</f>
        <v>4620</v>
      </c>
      <c r="E542" s="111">
        <f>IFERROR(__xludf.DUMMYFUNCTION("""COMPUTED_VALUE"""),750.0)</f>
        <v>750</v>
      </c>
      <c r="F542" s="111" t="str">
        <f>IFERROR(__xludf.DUMMYFUNCTION("""COMPUTED_VALUE"""),"Serpent Skin")</f>
        <v>Serpent Skin</v>
      </c>
      <c r="G542" s="111" t="str">
        <f>IFERROR(__xludf.DUMMYFUNCTION("""COMPUTED_VALUE"""),"Dragontail Whip")</f>
        <v>Dragontail Whip</v>
      </c>
      <c r="H542" s="111" t="str">
        <f>IFERROR(__xludf.DUMMYFUNCTION("""COMPUTED_VALUE"""),"Sniflheim Region, The First Forest")</f>
        <v>Sniflheim Region, The First Forest</v>
      </c>
    </row>
    <row r="543">
      <c r="A543" s="95"/>
      <c r="B543" s="108" t="str">
        <f>IFERROR(__xludf.DUMMYFUNCTION("""COMPUTED_VALUE"""),"A3G15")</f>
        <v>A3G15</v>
      </c>
      <c r="C543" s="109" t="str">
        <f>IFERROR(__xludf.DUMMYFUNCTION("""COMPUTED_VALUE"""),"Machine")</f>
        <v>Machine</v>
      </c>
      <c r="D543" s="109">
        <f>IFERROR(__xludf.DUMMYFUNCTION("""COMPUTED_VALUE"""),3200.0)</f>
        <v>3200</v>
      </c>
      <c r="E543" s="109">
        <f>IFERROR(__xludf.DUMMYFUNCTION("""COMPUTED_VALUE"""),420.0)</f>
        <v>420</v>
      </c>
      <c r="F543" s="109" t="str">
        <f>IFERROR(__xludf.DUMMYFUNCTION("""COMPUTED_VALUE"""),"Spectralite")</f>
        <v>Spectralite</v>
      </c>
      <c r="G543" s="109" t="str">
        <f>IFERROR(__xludf.DUMMYFUNCTION("""COMPUTED_VALUE"""),"Sword of Judgment")</f>
        <v>Sword of Judgment</v>
      </c>
      <c r="H543" s="109" t="str">
        <f>IFERROR(__xludf.DUMMYFUNCTION("""COMPUTED_VALUE"""),"Disciple's Trial - Cruel Crypt, Luminary's Trial")</f>
        <v>Disciple's Trial - Cruel Crypt, Luminary's Trial</v>
      </c>
    </row>
    <row r="544">
      <c r="A544" s="92"/>
      <c r="B544" s="110" t="str">
        <f>IFERROR(__xludf.DUMMYFUNCTION("""COMPUTED_VALUE"""),"Vicious Overkilling Machine")</f>
        <v>Vicious Overkilling Machine</v>
      </c>
      <c r="C544" s="111" t="str">
        <f>IFERROR(__xludf.DUMMYFUNCTION("""COMPUTED_VALUE"""),"Machine")</f>
        <v>Machine</v>
      </c>
      <c r="D544" s="111">
        <f>IFERROR(__xludf.DUMMYFUNCTION("""COMPUTED_VALUE"""),2515.0)</f>
        <v>2515</v>
      </c>
      <c r="E544" s="111">
        <f>IFERROR(__xludf.DUMMYFUNCTION("""COMPUTED_VALUE"""),415.0)</f>
        <v>415</v>
      </c>
      <c r="F544" s="111" t="str">
        <f>IFERROR(__xludf.DUMMYFUNCTION("""COMPUTED_VALUE"""),"Densinium")</f>
        <v>Densinium</v>
      </c>
      <c r="G544" s="111" t="str">
        <f>IFERROR(__xludf.DUMMYFUNCTION("""COMPUTED_VALUE"""),"Falcon Blade")</f>
        <v>Falcon Blade</v>
      </c>
      <c r="H544" s="111" t="str">
        <f>IFERROR(__xludf.DUMMYFUNCTION("""COMPUTED_VALUE"""),"Disciple's Trial - Cruel Crypt")</f>
        <v>Disciple's Trial - Cruel Crypt</v>
      </c>
    </row>
    <row r="545">
      <c r="A545" s="95"/>
      <c r="B545" s="108" t="str">
        <f>IFERROR(__xludf.DUMMYFUNCTION("""COMPUTED_VALUE"""),"Umbra")</f>
        <v>Umbra</v>
      </c>
      <c r="C545" s="109" t="str">
        <f>IFERROR(__xludf.DUMMYFUNCTION("""COMPUTED_VALUE"""),"Elemental")</f>
        <v>Elemental</v>
      </c>
      <c r="D545" s="109">
        <f>IFERROR(__xludf.DUMMYFUNCTION("""COMPUTED_VALUE"""),1525.0)</f>
        <v>1525</v>
      </c>
      <c r="E545" s="109">
        <f>IFERROR(__xludf.DUMMYFUNCTION("""COMPUTED_VALUE"""),370.0)</f>
        <v>370</v>
      </c>
      <c r="F545" s="109" t="str">
        <f>IFERROR(__xludf.DUMMYFUNCTION("""COMPUTED_VALUE"""),"Mini Medal")</f>
        <v>Mini Medal</v>
      </c>
      <c r="G545" s="109" t="str">
        <f>IFERROR(__xludf.DUMMYFUNCTION("""COMPUTED_VALUE"""),"Agate of Evolution")</f>
        <v>Agate of Evolution</v>
      </c>
      <c r="H545" s="109" t="str">
        <f>IFERROR(__xludf.DUMMYFUNCTION("""COMPUTED_VALUE"""),"Disciple's Trial - Cruel Crypt")</f>
        <v>Disciple's Trial - Cruel Crypt</v>
      </c>
    </row>
    <row r="546">
      <c r="A546" s="92"/>
      <c r="B546" s="110" t="str">
        <f>IFERROR(__xludf.DUMMYFUNCTION("""COMPUTED_VALUE"""),"Vicious Chasmonaut")</f>
        <v>Vicious Chasmonaut</v>
      </c>
      <c r="C546" s="111" t="str">
        <f>IFERROR(__xludf.DUMMYFUNCTION("""COMPUTED_VALUE"""),"Undead")</f>
        <v>Undead</v>
      </c>
      <c r="D546" s="111">
        <f>IFERROR(__xludf.DUMMYFUNCTION("""COMPUTED_VALUE"""),1382.0)</f>
        <v>1382</v>
      </c>
      <c r="E546" s="111">
        <f>IFERROR(__xludf.DUMMYFUNCTION("""COMPUTED_VALUE"""),322.0)</f>
        <v>322</v>
      </c>
      <c r="F546" s="111" t="str">
        <f>IFERROR(__xludf.DUMMYFUNCTION("""COMPUTED_VALUE"""),"Royal Ruby")</f>
        <v>Royal Ruby</v>
      </c>
      <c r="G546" s="111" t="str">
        <f>IFERROR(__xludf.DUMMYFUNCTION("""COMPUTED_VALUE"""),"Platinum Headgear")</f>
        <v>Platinum Headgear</v>
      </c>
      <c r="H546" s="111" t="str">
        <f>IFERROR(__xludf.DUMMYFUNCTION("""COMPUTED_VALUE"""),"Disciple's Trial - Cruel Crypt (Day)")</f>
        <v>Disciple's Trial - Cruel Crypt (Day)</v>
      </c>
    </row>
    <row r="547">
      <c r="A547" s="95"/>
      <c r="B547" s="108" t="str">
        <f>IFERROR(__xludf.DUMMYFUNCTION("""COMPUTED_VALUE"""),"Vicious Heavy Hood")</f>
        <v>Vicious Heavy Hood</v>
      </c>
      <c r="C547" s="109" t="str">
        <f>IFERROR(__xludf.DUMMYFUNCTION("""COMPUTED_VALUE"""),"Humanoid")</f>
        <v>Humanoid</v>
      </c>
      <c r="D547" s="109">
        <f>IFERROR(__xludf.DUMMYFUNCTION("""COMPUTED_VALUE"""),1819.0)</f>
        <v>1819</v>
      </c>
      <c r="E547" s="109">
        <f>IFERROR(__xludf.DUMMYFUNCTION("""COMPUTED_VALUE"""),511.0)</f>
        <v>511</v>
      </c>
      <c r="F547" s="109" t="str">
        <f>IFERROR(__xludf.DUMMYFUNCTION("""COMPUTED_VALUE"""),"Pirate's Hat")</f>
        <v>Pirate's Hat</v>
      </c>
      <c r="G547" s="109" t="str">
        <f>IFERROR(__xludf.DUMMYFUNCTION("""COMPUTED_VALUE"""),"Velvet Cape")</f>
        <v>Velvet Cape</v>
      </c>
      <c r="H547" s="109" t="str">
        <f>IFERROR(__xludf.DUMMYFUNCTION("""COMPUTED_VALUE"""),"Disciple's Trial - Cruel Crypt (Night)")</f>
        <v>Disciple's Trial - Cruel Crypt (Night)</v>
      </c>
    </row>
    <row r="548">
      <c r="A548" s="98"/>
      <c r="B548" s="110" t="str">
        <f>IFERROR(__xludf.DUMMYFUNCTION("""COMPUTED_VALUE"""),"Vicious Bad Hare")</f>
        <v>Vicious Bad Hare</v>
      </c>
      <c r="C548" s="111" t="str">
        <f>IFERROR(__xludf.DUMMYFUNCTION("""COMPUTED_VALUE"""),"Beast")</f>
        <v>Beast</v>
      </c>
      <c r="D548" s="111">
        <f>IFERROR(__xludf.DUMMYFUNCTION("""COMPUTED_VALUE"""),1139.0)</f>
        <v>1139</v>
      </c>
      <c r="E548" s="111">
        <f>IFERROR(__xludf.DUMMYFUNCTION("""COMPUTED_VALUE"""),241.0)</f>
        <v>241</v>
      </c>
      <c r="F548" s="111" t="str">
        <f>IFERROR(__xludf.DUMMYFUNCTION("""COMPUTED_VALUE"""),"Grubby Bandage")</f>
        <v>Grubby Bandage</v>
      </c>
      <c r="G548" s="111" t="str">
        <f>IFERROR(__xludf.DUMMYFUNCTION("""COMPUTED_VALUE"""),"Finessence")</f>
        <v>Finessence</v>
      </c>
      <c r="H548" s="111" t="str">
        <f>IFERROR(__xludf.DUMMYFUNCTION("""COMPUTED_VALUE"""),"Disciple's Trial - Cruel Crypt (Night)")</f>
        <v>Disciple's Trial - Cruel Crypt (Night)</v>
      </c>
    </row>
    <row r="549">
      <c r="A549" s="107" t="str">
        <f>IFERROR(__xludf.DUMMYFUNCTION("""COMPUTED_VALUE"""),"P28")</f>
        <v>P28</v>
      </c>
      <c r="B549" s="108" t="str">
        <f>IFERROR(__xludf.DUMMYFUNCTION("""COMPUTED_VALUE"""),"Vicious Bloody Hand")</f>
        <v>Vicious Bloody Hand</v>
      </c>
      <c r="C549" s="109" t="str">
        <f>IFERROR(__xludf.DUMMYFUNCTION("""COMPUTED_VALUE"""),"Undead")</f>
        <v>Undead</v>
      </c>
      <c r="D549" s="109">
        <f>IFERROR(__xludf.DUMMYFUNCTION("""COMPUTED_VALUE"""),1171.0)</f>
        <v>1171</v>
      </c>
      <c r="E549" s="109">
        <f>IFERROR(__xludf.DUMMYFUNCTION("""COMPUTED_VALUE"""),275.0)</f>
        <v>275</v>
      </c>
      <c r="F549" s="109" t="str">
        <f>IFERROR(__xludf.DUMMYFUNCTION("""COMPUTED_VALUE"""),"Mini Medal")</f>
        <v>Mini Medal</v>
      </c>
      <c r="G549" s="109" t="str">
        <f>IFERROR(__xludf.DUMMYFUNCTION("""COMPUTED_VALUE"""),"Royal Ruby")</f>
        <v>Royal Ruby</v>
      </c>
      <c r="H549" s="109" t="str">
        <f>IFERROR(__xludf.DUMMYFUNCTION("""COMPUTED_VALUE"""),"Disciple's Trial - Cruel Crypt (Night)")</f>
        <v>Disciple's Trial - Cruel Crypt (Night)</v>
      </c>
    </row>
    <row r="550">
      <c r="A550" s="92"/>
      <c r="B550" s="110" t="str">
        <f>IFERROR(__xludf.DUMMYFUNCTION("""COMPUTED_VALUE"""),"Vicious Mimic")</f>
        <v>Vicious Mimic</v>
      </c>
      <c r="C550" s="111" t="str">
        <f>IFERROR(__xludf.DUMMYFUNCTION("""COMPUTED_VALUE"""),"Material")</f>
        <v>Material</v>
      </c>
      <c r="D550" s="111">
        <f>IFERROR(__xludf.DUMMYFUNCTION("""COMPUTED_VALUE"""),5600.0)</f>
        <v>5600</v>
      </c>
      <c r="E550" s="111">
        <f>IFERROR(__xludf.DUMMYFUNCTION("""COMPUTED_VALUE"""),900.0)</f>
        <v>900</v>
      </c>
      <c r="F550" s="111" t="str">
        <f>IFERROR(__xludf.DUMMYFUNCTION("""COMPUTED_VALUE"""),"Seed of Skill")</f>
        <v>Seed of Skill</v>
      </c>
      <c r="G550" s="111" t="str">
        <f>IFERROR(__xludf.DUMMYFUNCTION("""COMPUTED_VALUE"""),"--")</f>
        <v>--</v>
      </c>
      <c r="H550" s="111" t="str">
        <f>IFERROR(__xludf.DUMMYFUNCTION("""COMPUTED_VALUE"""),"--")</f>
        <v>--</v>
      </c>
    </row>
    <row r="551">
      <c r="A551" s="95"/>
      <c r="B551" s="108" t="str">
        <f>IFERROR(__xludf.DUMMYFUNCTION("""COMPUTED_VALUE"""),"Vicious Penny Pincher")</f>
        <v>Vicious Penny Pincher</v>
      </c>
      <c r="C551" s="109" t="str">
        <f>IFERROR(__xludf.DUMMYFUNCTION("""COMPUTED_VALUE"""),"Machine")</f>
        <v>Machine</v>
      </c>
      <c r="D551" s="109">
        <f>IFERROR(__xludf.DUMMYFUNCTION("""COMPUTED_VALUE"""),2555.0)</f>
        <v>2555</v>
      </c>
      <c r="E551" s="109">
        <f>IFERROR(__xludf.DUMMYFUNCTION("""COMPUTED_VALUE"""),1540.0)</f>
        <v>1540</v>
      </c>
      <c r="F551" s="109" t="str">
        <f>IFERROR(__xludf.DUMMYFUNCTION("""COMPUTED_VALUE"""),"Mini Medal")</f>
        <v>Mini Medal</v>
      </c>
      <c r="G551" s="109" t="str">
        <f>IFERROR(__xludf.DUMMYFUNCTION("""COMPUTED_VALUE"""),"Yggdrasil Leaf")</f>
        <v>Yggdrasil Leaf</v>
      </c>
      <c r="H551" s="109" t="str">
        <f>IFERROR(__xludf.DUMMYFUNCTION("""COMPUTED_VALUE"""),"Disciple's Trial - Cruel Crypt")</f>
        <v>Disciple's Trial - Cruel Crypt</v>
      </c>
    </row>
    <row r="552">
      <c r="A552" s="92"/>
      <c r="B552" s="110" t="str">
        <f>IFERROR(__xludf.DUMMYFUNCTION("""COMPUTED_VALUE"""),"Phoenix")</f>
        <v>Phoenix</v>
      </c>
      <c r="C552" s="111" t="str">
        <f>IFERROR(__xludf.DUMMYFUNCTION("""COMPUTED_VALUE"""),"Bird")</f>
        <v>Bird</v>
      </c>
      <c r="D552" s="111">
        <f>IFERROR(__xludf.DUMMYFUNCTION("""COMPUTED_VALUE"""),1880.0)</f>
        <v>1880</v>
      </c>
      <c r="E552" s="111">
        <f>IFERROR(__xludf.DUMMYFUNCTION("""COMPUTED_VALUE"""),350.0)</f>
        <v>350</v>
      </c>
      <c r="F552" s="111" t="str">
        <f>IFERROR(__xludf.DUMMYFUNCTION("""COMPUTED_VALUE"""),"Sainted Soma")</f>
        <v>Sainted Soma</v>
      </c>
      <c r="G552" s="111" t="str">
        <f>IFERROR(__xludf.DUMMYFUNCTION("""COMPUTED_VALUE"""),"Uber Agate of Evolution")</f>
        <v>Uber Agate of Evolution</v>
      </c>
      <c r="H552" s="111" t="str">
        <f>IFERROR(__xludf.DUMMYFUNCTION("""COMPUTED_VALUE"""),"Disciple's Trial - Eerie Valley")</f>
        <v>Disciple's Trial - Eerie Valley</v>
      </c>
    </row>
    <row r="553">
      <c r="A553" s="95"/>
      <c r="B553" s="108" t="str">
        <f>IFERROR(__xludf.DUMMYFUNCTION("""COMPUTED_VALUE"""),"Gaia Dragon")</f>
        <v>Gaia Dragon</v>
      </c>
      <c r="C553" s="109" t="str">
        <f>IFERROR(__xludf.DUMMYFUNCTION("""COMPUTED_VALUE"""),"Dragon")</f>
        <v>Dragon</v>
      </c>
      <c r="D553" s="109">
        <f>IFERROR(__xludf.DUMMYFUNCTION("""COMPUTED_VALUE"""),4970.0)</f>
        <v>4970</v>
      </c>
      <c r="E553" s="109">
        <f>IFERROR(__xludf.DUMMYFUNCTION("""COMPUTED_VALUE"""),730.0)</f>
        <v>730</v>
      </c>
      <c r="F553" s="109" t="str">
        <f>IFERROR(__xludf.DUMMYFUNCTION("""COMPUTED_VALUE"""),"Serpent Skin")</f>
        <v>Serpent Skin</v>
      </c>
      <c r="G553" s="109" t="str">
        <f>IFERROR(__xludf.DUMMYFUNCTION("""COMPUTED_VALUE"""),"Earthwyrm's Eye")</f>
        <v>Earthwyrm's Eye</v>
      </c>
      <c r="H553" s="109" t="str">
        <f>IFERROR(__xludf.DUMMYFUNCTION("""COMPUTED_VALUE"""),"Disciple's Trial - Eerie Valley")</f>
        <v>Disciple's Trial - Eerie Valley</v>
      </c>
    </row>
    <row r="554">
      <c r="A554" s="92"/>
      <c r="B554" s="110" t="str">
        <f>IFERROR(__xludf.DUMMYFUNCTION("""COMPUTED_VALUE"""),"Vicious Dread Dragooner")</f>
        <v>Vicious Dread Dragooner</v>
      </c>
      <c r="C554" s="111" t="str">
        <f>IFERROR(__xludf.DUMMYFUNCTION("""COMPUTED_VALUE"""),"Dragon")</f>
        <v>Dragon</v>
      </c>
      <c r="D554" s="111">
        <f>IFERROR(__xludf.DUMMYFUNCTION("""COMPUTED_VALUE"""),1775.0)</f>
        <v>1775</v>
      </c>
      <c r="E554" s="111">
        <f>IFERROR(__xludf.DUMMYFUNCTION("""COMPUTED_VALUE"""),448.0)</f>
        <v>448</v>
      </c>
      <c r="F554" s="111" t="str">
        <f>IFERROR(__xludf.DUMMYFUNCTION("""COMPUTED_VALUE"""),"Dragon Horn")</f>
        <v>Dragon Horn</v>
      </c>
      <c r="G554" s="111" t="str">
        <f>IFERROR(__xludf.DUMMYFUNCTION("""COMPUTED_VALUE"""),"Dragon Bandana")</f>
        <v>Dragon Bandana</v>
      </c>
      <c r="H554" s="111" t="str">
        <f>IFERROR(__xludf.DUMMYFUNCTION("""COMPUTED_VALUE"""),"Disciple's Trial - Eerie Valley, Luminary's Trial")</f>
        <v>Disciple's Trial - Eerie Valley, Luminary's Trial</v>
      </c>
    </row>
    <row r="555">
      <c r="A555" s="95"/>
      <c r="B555" s="108" t="str">
        <f>IFERROR(__xludf.DUMMYFUNCTION("""COMPUTED_VALUE"""),"Vicious Gryphon")</f>
        <v>Vicious Gryphon</v>
      </c>
      <c r="C555" s="109" t="str">
        <f>IFERROR(__xludf.DUMMYFUNCTION("""COMPUTED_VALUE"""),"Bird")</f>
        <v>Bird</v>
      </c>
      <c r="D555" s="109">
        <f>IFERROR(__xludf.DUMMYFUNCTION("""COMPUTED_VALUE"""),1726.0)</f>
        <v>1726</v>
      </c>
      <c r="E555" s="109">
        <f>IFERROR(__xludf.DUMMYFUNCTION("""COMPUTED_VALUE"""),388.0)</f>
        <v>388</v>
      </c>
      <c r="F555" s="109" t="str">
        <f>IFERROR(__xludf.DUMMYFUNCTION("""COMPUTED_VALUE"""),"Fine Fur")</f>
        <v>Fine Fur</v>
      </c>
      <c r="G555" s="109" t="str">
        <f>IFERROR(__xludf.DUMMYFUNCTION("""COMPUTED_VALUE"""),"Magic Circle")</f>
        <v>Magic Circle</v>
      </c>
      <c r="H555" s="109" t="str">
        <f>IFERROR(__xludf.DUMMYFUNCTION("""COMPUTED_VALUE"""),"Disciple's Trial - Eerie Valley (Night)")</f>
        <v>Disciple's Trial - Eerie Valley (Night)</v>
      </c>
    </row>
    <row r="556">
      <c r="A556" s="92"/>
      <c r="B556" s="110" t="str">
        <f>IFERROR(__xludf.DUMMYFUNCTION("""COMPUTED_VALUE"""),"Vicious Cheater Cheetah")</f>
        <v>Vicious Cheater Cheetah</v>
      </c>
      <c r="C556" s="111" t="str">
        <f>IFERROR(__xludf.DUMMYFUNCTION("""COMPUTED_VALUE"""),"Humanoid")</f>
        <v>Humanoid</v>
      </c>
      <c r="D556" s="111">
        <f>IFERROR(__xludf.DUMMYFUNCTION("""COMPUTED_VALUE"""),1834.0)</f>
        <v>1834</v>
      </c>
      <c r="E556" s="111">
        <f>IFERROR(__xludf.DUMMYFUNCTION("""COMPUTED_VALUE"""),518.0)</f>
        <v>518</v>
      </c>
      <c r="F556" s="111" t="str">
        <f>IFERROR(__xludf.DUMMYFUNCTION("""COMPUTED_VALUE"""),"Kitty Litter")</f>
        <v>Kitty Litter</v>
      </c>
      <c r="G556" s="111" t="str">
        <f>IFERROR(__xludf.DUMMYFUNCTION("""COMPUTED_VALUE"""),"Hairy Vest")</f>
        <v>Hairy Vest</v>
      </c>
      <c r="H556" s="111" t="str">
        <f>IFERROR(__xludf.DUMMYFUNCTION("""COMPUTED_VALUE"""),"Disciple's Trial - Eerie Valley (Night)")</f>
        <v>Disciple's Trial - Eerie Valley (Night)</v>
      </c>
    </row>
    <row r="557">
      <c r="A557" s="95"/>
      <c r="B557" s="108" t="str">
        <f>IFERROR(__xludf.DUMMYFUNCTION("""COMPUTED_VALUE"""),"Vicions Bobonga")</f>
        <v>Vicions Bobonga</v>
      </c>
      <c r="C557" s="109" t="str">
        <f>IFERROR(__xludf.DUMMYFUNCTION("""COMPUTED_VALUE"""),"Dragon")</f>
        <v>Dragon</v>
      </c>
      <c r="D557" s="109">
        <f>IFERROR(__xludf.DUMMYFUNCTION("""COMPUTED_VALUE"""),1689.0)</f>
        <v>1689</v>
      </c>
      <c r="E557" s="109">
        <f>IFERROR(__xludf.DUMMYFUNCTION("""COMPUTED_VALUE"""),445.0)</f>
        <v>445</v>
      </c>
      <c r="F557" s="109" t="str">
        <f>IFERROR(__xludf.DUMMYFUNCTION("""COMPUTED_VALUE"""),"Serpent Skin")</f>
        <v>Serpent Skin</v>
      </c>
      <c r="G557" s="109" t="str">
        <f>IFERROR(__xludf.DUMMYFUNCTION("""COMPUTED_VALUE"""),"Spectralite")</f>
        <v>Spectralite</v>
      </c>
      <c r="H557" s="109" t="str">
        <f>IFERROR(__xludf.DUMMYFUNCTION("""COMPUTED_VALUE"""),"Disciple's Trial - Eerie Valley (Night)")</f>
        <v>Disciple's Trial - Eerie Valley (Night)</v>
      </c>
    </row>
    <row r="558">
      <c r="A558" s="92"/>
      <c r="B558" s="110" t="str">
        <f>IFERROR(__xludf.DUMMYFUNCTION("""COMPUTED_VALUE"""),"Vicious Cosmic Chimaera")</f>
        <v>Vicious Cosmic Chimaera</v>
      </c>
      <c r="C558" s="111" t="str">
        <f>IFERROR(__xludf.DUMMYFUNCTION("""COMPUTED_VALUE"""),"Bird")</f>
        <v>Bird</v>
      </c>
      <c r="D558" s="111">
        <f>IFERROR(__xludf.DUMMYFUNCTION("""COMPUTED_VALUE"""),1354.0)</f>
        <v>1354</v>
      </c>
      <c r="E558" s="111">
        <f>IFERROR(__xludf.DUMMYFUNCTION("""COMPUTED_VALUE"""),289.0)</f>
        <v>289</v>
      </c>
      <c r="F558" s="111" t="str">
        <f>IFERROR(__xludf.DUMMYFUNCTION("""COMPUTED_VALUE"""),"Brighten Rock")</f>
        <v>Brighten Rock</v>
      </c>
      <c r="G558" s="111" t="str">
        <f>IFERROR(__xludf.DUMMYFUNCTION("""COMPUTED_VALUE"""),"Lucida Shard")</f>
        <v>Lucida Shard</v>
      </c>
      <c r="H558" s="111" t="str">
        <f>IFERROR(__xludf.DUMMYFUNCTION("""COMPUTED_VALUE"""),"Disciple's Trial - Eerie Valley (Night)")</f>
        <v>Disciple's Trial - Eerie Valley (Night)</v>
      </c>
    </row>
    <row r="559">
      <c r="A559" s="95"/>
      <c r="B559" s="108" t="str">
        <f>IFERROR(__xludf.DUMMYFUNCTION("""COMPUTED_VALUE"""),"Vicious Sail Serpent")</f>
        <v>Vicious Sail Serpent</v>
      </c>
      <c r="C559" s="109" t="str">
        <f>IFERROR(__xludf.DUMMYFUNCTION("""COMPUTED_VALUE"""),"Dragon")</f>
        <v>Dragon</v>
      </c>
      <c r="D559" s="109">
        <f>IFERROR(__xludf.DUMMYFUNCTION("""COMPUTED_VALUE"""),1638.0)</f>
        <v>1638</v>
      </c>
      <c r="E559" s="109">
        <f>IFERROR(__xludf.DUMMYFUNCTION("""COMPUTED_VALUE"""),330.0)</f>
        <v>330</v>
      </c>
      <c r="F559" s="109" t="str">
        <f>IFERROR(__xludf.DUMMYFUNCTION("""COMPUTED_VALUE"""),"Snakeskin")</f>
        <v>Snakeskin</v>
      </c>
      <c r="G559" s="109" t="str">
        <f>IFERROR(__xludf.DUMMYFUNCTION("""COMPUTED_VALUE"""),"Falcon Knife Earring")</f>
        <v>Falcon Knife Earring</v>
      </c>
      <c r="H559" s="109" t="str">
        <f>IFERROR(__xludf.DUMMYFUNCTION("""COMPUTED_VALUE"""),"Disciple's Trial - Eerie Valley (Night)")</f>
        <v>Disciple's Trial - Eerie Valley (Night)</v>
      </c>
    </row>
    <row r="560">
      <c r="A560" s="92"/>
      <c r="B560" s="110" t="str">
        <f>IFERROR(__xludf.DUMMYFUNCTION("""COMPUTED_VALUE"""),"Vicious Octopot")</f>
        <v>Vicious Octopot</v>
      </c>
      <c r="C560" s="111" t="str">
        <f>IFERROR(__xludf.DUMMYFUNCTION("""COMPUTED_VALUE"""),"Nature")</f>
        <v>Nature</v>
      </c>
      <c r="D560" s="111">
        <f>IFERROR(__xludf.DUMMYFUNCTION("""COMPUTED_VALUE"""),975.0)</f>
        <v>975</v>
      </c>
      <c r="E560" s="111">
        <f>IFERROR(__xludf.DUMMYFUNCTION("""COMPUTED_VALUE"""),247.0)</f>
        <v>247</v>
      </c>
      <c r="F560" s="111" t="str">
        <f>IFERROR(__xludf.DUMMYFUNCTION("""COMPUTED_VALUE"""),"Mini Medal")</f>
        <v>Mini Medal</v>
      </c>
      <c r="G560" s="111" t="str">
        <f>IFERROR(__xludf.DUMMYFUNCTION("""COMPUTED_VALUE"""),"Red Eye")</f>
        <v>Red Eye</v>
      </c>
      <c r="H560" s="111" t="str">
        <f>IFERROR(__xludf.DUMMYFUNCTION("""COMPUTED_VALUE"""),"Disciple's Trial - Eerie Valley (Night)")</f>
        <v>Disciple's Trial - Eerie Valley (Night)</v>
      </c>
    </row>
    <row r="561">
      <c r="A561" s="95"/>
      <c r="B561" s="108" t="str">
        <f>IFERROR(__xludf.DUMMYFUNCTION("""COMPUTED_VALUE"""),"Vicious Cureslime")</f>
        <v>Vicious Cureslime</v>
      </c>
      <c r="C561" s="109" t="str">
        <f>IFERROR(__xludf.DUMMYFUNCTION("""COMPUTED_VALUE"""),"Slime")</f>
        <v>Slime</v>
      </c>
      <c r="D561" s="109">
        <f>IFERROR(__xludf.DUMMYFUNCTION("""COMPUTED_VALUE"""),1189.0)</f>
        <v>1189</v>
      </c>
      <c r="E561" s="109">
        <f>IFERROR(__xludf.DUMMYFUNCTION("""COMPUTED_VALUE"""),291.0)</f>
        <v>291</v>
      </c>
      <c r="F561" s="109" t="str">
        <f>IFERROR(__xludf.DUMMYFUNCTION("""COMPUTED_VALUE"""),"Slimedrop")</f>
        <v>Slimedrop</v>
      </c>
      <c r="G561" s="109" t="str">
        <f>IFERROR(__xludf.DUMMYFUNCTION("""COMPUTED_VALUE"""),"Perfect Panacea")</f>
        <v>Perfect Panacea</v>
      </c>
      <c r="H561" s="109" t="str">
        <f>IFERROR(__xludf.DUMMYFUNCTION("""COMPUTED_VALUE"""),"Disciple's Trial - Eerie Valley (Night)")</f>
        <v>Disciple's Trial - Eerie Valley (Night)</v>
      </c>
    </row>
    <row r="562">
      <c r="A562" s="92"/>
      <c r="B562" s="110" t="str">
        <f>IFERROR(__xludf.DUMMYFUNCTION("""COMPUTED_VALUE"""),"Vicious King Crab")</f>
        <v>Vicious King Crab</v>
      </c>
      <c r="C562" s="111" t="str">
        <f>IFERROR(__xludf.DUMMYFUNCTION("""COMPUTED_VALUE"""),"Nature")</f>
        <v>Nature</v>
      </c>
      <c r="D562" s="111">
        <f>IFERROR(__xludf.DUMMYFUNCTION("""COMPUTED_VALUE"""),1597.0)</f>
        <v>1597</v>
      </c>
      <c r="E562" s="111">
        <f>IFERROR(__xludf.DUMMYFUNCTION("""COMPUTED_VALUE"""),331.0)</f>
        <v>331</v>
      </c>
      <c r="F562" s="111" t="str">
        <f>IFERROR(__xludf.DUMMYFUNCTION("""COMPUTED_VALUE"""),"Yellow Eye")</f>
        <v>Yellow Eye</v>
      </c>
      <c r="G562" s="111" t="str">
        <f>IFERROR(__xludf.DUMMYFUNCTION("""COMPUTED_VALUE"""),"Spectralite")</f>
        <v>Spectralite</v>
      </c>
      <c r="H562" s="111" t="str">
        <f>IFERROR(__xludf.DUMMYFUNCTION("""COMPUTED_VALUE"""),"Disciple's Trial - Eerie Valley (Night)")</f>
        <v>Disciple's Trial - Eerie Valley (Night)</v>
      </c>
    </row>
    <row r="563">
      <c r="A563" s="95"/>
      <c r="B563" s="108" t="str">
        <f>IFERROR(__xludf.DUMMYFUNCTION("""COMPUTED_VALUE"""),"Vicious Lobster Mobster")</f>
        <v>Vicious Lobster Mobster</v>
      </c>
      <c r="C563" s="109" t="str">
        <f>IFERROR(__xludf.DUMMYFUNCTION("""COMPUTED_VALUE"""),"Nature")</f>
        <v>Nature</v>
      </c>
      <c r="D563" s="109">
        <f>IFERROR(__xludf.DUMMYFUNCTION("""COMPUTED_VALUE"""),2852.0)</f>
        <v>2852</v>
      </c>
      <c r="E563" s="109">
        <f>IFERROR(__xludf.DUMMYFUNCTION("""COMPUTED_VALUE"""),375.0)</f>
        <v>375</v>
      </c>
      <c r="F563" s="109" t="str">
        <f>IFERROR(__xludf.DUMMYFUNCTION("""COMPUTED_VALUE"""),"Red Eye")</f>
        <v>Red Eye</v>
      </c>
      <c r="G563" s="109" t="str">
        <f>IFERROR(__xludf.DUMMYFUNCTION("""COMPUTED_VALUE"""),"Royal Ruby")</f>
        <v>Royal Ruby</v>
      </c>
      <c r="H563" s="109" t="str">
        <f>IFERROR(__xludf.DUMMYFUNCTION("""COMPUTED_VALUE"""),"Disciple's Trial - Eerie Valley (Night)")</f>
        <v>Disciple's Trial - Eerie Valley (Night)</v>
      </c>
    </row>
    <row r="564">
      <c r="A564" s="92"/>
      <c r="B564" s="110" t="str">
        <f>IFERROR(__xludf.DUMMYFUNCTION("""COMPUTED_VALUE"""),"Vicious Gold Drohl")</f>
        <v>Vicious Gold Drohl</v>
      </c>
      <c r="C564" s="111" t="str">
        <f>IFERROR(__xludf.DUMMYFUNCTION("""COMPUTED_VALUE"""),"Undead")</f>
        <v>Undead</v>
      </c>
      <c r="D564" s="111">
        <f>IFERROR(__xludf.DUMMYFUNCTION("""COMPUTED_VALUE"""),1720.0)</f>
        <v>1720</v>
      </c>
      <c r="E564" s="111">
        <f>IFERROR(__xludf.DUMMYFUNCTION("""COMPUTED_VALUE"""),780.0)</f>
        <v>780</v>
      </c>
      <c r="F564" s="111" t="str">
        <f>IFERROR(__xludf.DUMMYFUNCTION("""COMPUTED_VALUE"""),"Sage's Elixir")</f>
        <v>Sage's Elixir</v>
      </c>
      <c r="G564" s="111" t="str">
        <f>IFERROR(__xludf.DUMMYFUNCTION("""COMPUTED_VALUE"""),"Gold Bar")</f>
        <v>Gold Bar</v>
      </c>
      <c r="H564" s="111" t="str">
        <f>IFERROR(__xludf.DUMMYFUNCTION("""COMPUTED_VALUE"""),"Disciple's Trial - Eerie Valley (Night)")</f>
        <v>Disciple's Trial - Eerie Valley (Night)</v>
      </c>
    </row>
    <row r="565">
      <c r="A565" s="95"/>
      <c r="B565" s="108" t="str">
        <f>IFERROR(__xludf.DUMMYFUNCTION("""COMPUTED_VALUE"""),"Blind Hatred")</f>
        <v>Blind Hatred</v>
      </c>
      <c r="C565" s="109" t="str">
        <f>IFERROR(__xludf.DUMMYFUNCTION("""COMPUTED_VALUE"""),"Undead")</f>
        <v>Undead</v>
      </c>
      <c r="D565" s="109">
        <f>IFERROR(__xludf.DUMMYFUNCTION("""COMPUTED_VALUE"""),8000.0)</f>
        <v>8000</v>
      </c>
      <c r="E565" s="109">
        <f>IFERROR(__xludf.DUMMYFUNCTION("""COMPUTED_VALUE"""),3200.0)</f>
        <v>3200</v>
      </c>
      <c r="F565" s="109" t="str">
        <f>IFERROR(__xludf.DUMMYFUNCTION("""COMPUTED_VALUE"""),"--")</f>
        <v>--</v>
      </c>
      <c r="G565" s="109" t="str">
        <f>IFERROR(__xludf.DUMMYFUNCTION("""COMPUTED_VALUE"""),"--")</f>
        <v>--</v>
      </c>
      <c r="H565" s="109" t="str">
        <f>IFERROR(__xludf.DUMMYFUNCTION("""COMPUTED_VALUE"""),"--")</f>
        <v>--</v>
      </c>
    </row>
    <row r="566">
      <c r="A566" s="92"/>
      <c r="B566" s="110" t="str">
        <f>IFERROR(__xludf.DUMMYFUNCTION("""COMPUTED_VALUE"""),"Malicious Killing Machine")</f>
        <v>Malicious Killing Machine</v>
      </c>
      <c r="C566" s="111" t="str">
        <f>IFERROR(__xludf.DUMMYFUNCTION("""COMPUTED_VALUE"""),"Machine")</f>
        <v>Machine</v>
      </c>
      <c r="D566" s="111">
        <f>IFERROR(__xludf.DUMMYFUNCTION("""COMPUTED_VALUE"""),3085.0)</f>
        <v>3085</v>
      </c>
      <c r="E566" s="111">
        <f>IFERROR(__xludf.DUMMYFUNCTION("""COMPUTED_VALUE"""),451.0)</f>
        <v>451</v>
      </c>
      <c r="F566" s="111" t="str">
        <f>IFERROR(__xludf.DUMMYFUNCTION("""COMPUTED_VALUE"""),"Platinum Ore")</f>
        <v>Platinum Ore</v>
      </c>
      <c r="G566" s="111" t="str">
        <f>IFERROR(__xludf.DUMMYFUNCTION("""COMPUTED_VALUE"""),"Spiked Armour")</f>
        <v>Spiked Armour</v>
      </c>
      <c r="H566" s="111" t="str">
        <f>IFERROR(__xludf.DUMMYFUNCTION("""COMPUTED_VALUE"""),"The Snaerfelt")</f>
        <v>The Snaerfelt</v>
      </c>
    </row>
    <row r="567">
      <c r="A567" s="95"/>
      <c r="B567" s="108" t="str">
        <f>IFERROR(__xludf.DUMMYFUNCTION("""COMPUTED_VALUE"""),"Malicious Shadow")</f>
        <v>Malicious Shadow</v>
      </c>
      <c r="C567" s="109" t="str">
        <f>IFERROR(__xludf.DUMMYFUNCTION("""COMPUTED_VALUE"""),"Elemental")</f>
        <v>Elemental</v>
      </c>
      <c r="D567" s="109">
        <f>IFERROR(__xludf.DUMMYFUNCTION("""COMPUTED_VALUE"""),1611.0)</f>
        <v>1611</v>
      </c>
      <c r="E567" s="109">
        <f>IFERROR(__xludf.DUMMYFUNCTION("""COMPUTED_VALUE"""),303.0)</f>
        <v>303</v>
      </c>
      <c r="F567" s="109" t="str">
        <f>IFERROR(__xludf.DUMMYFUNCTION("""COMPUTED_VALUE"""),"Purple Eye")</f>
        <v>Purple Eye</v>
      </c>
      <c r="G567" s="109" t="str">
        <f>IFERROR(__xludf.DUMMYFUNCTION("""COMPUTED_VALUE"""),"Thief's Turban")</f>
        <v>Thief's Turban</v>
      </c>
      <c r="H567" s="109" t="str">
        <f>IFERROR(__xludf.DUMMYFUNCTION("""COMPUTED_VALUE"""),"The Snaerfelt")</f>
        <v>The Snaerfelt</v>
      </c>
    </row>
    <row r="568">
      <c r="A568" s="98"/>
      <c r="B568" s="110" t="str">
        <f>IFERROR(__xludf.DUMMYFUNCTION("""COMPUTED_VALUE"""),"Labradrake")</f>
        <v>Labradrake</v>
      </c>
      <c r="C568" s="111" t="str">
        <f>IFERROR(__xludf.DUMMYFUNCTION("""COMPUTED_VALUE"""),"Dragon")</f>
        <v>Dragon</v>
      </c>
      <c r="D568" s="111">
        <f>IFERROR(__xludf.DUMMYFUNCTION("""COMPUTED_VALUE"""),3636.0)</f>
        <v>3636</v>
      </c>
      <c r="E568" s="111">
        <f>IFERROR(__xludf.DUMMYFUNCTION("""COMPUTED_VALUE"""),747.0)</f>
        <v>747</v>
      </c>
      <c r="F568" s="111" t="str">
        <f>IFERROR(__xludf.DUMMYFUNCTION("""COMPUTED_VALUE"""),"Spectralite")</f>
        <v>Spectralite</v>
      </c>
      <c r="G568" s="111" t="str">
        <f>IFERROR(__xludf.DUMMYFUNCTION("""COMPUTED_VALUE"""),"Legendary Armour")</f>
        <v>Legendary Armour</v>
      </c>
      <c r="H568" s="111" t="str">
        <f>IFERROR(__xludf.DUMMYFUNCTION("""COMPUTED_VALUE"""),"The Snaerfelt")</f>
        <v>The Snaerfelt</v>
      </c>
    </row>
    <row r="569">
      <c r="A569" s="107" t="str">
        <f>IFERROR(__xludf.DUMMYFUNCTION("""COMPUTED_VALUE"""),"P29")</f>
        <v>P29</v>
      </c>
      <c r="B569" s="108" t="str">
        <f>IFERROR(__xludf.DUMMYFUNCTION("""COMPUTED_VALUE"""),"Malicious Auroral Serpent")</f>
        <v>Malicious Auroral Serpent</v>
      </c>
      <c r="C569" s="109" t="str">
        <f>IFERROR(__xludf.DUMMYFUNCTION("""COMPUTED_VALUE"""),"Dragon")</f>
        <v>Dragon</v>
      </c>
      <c r="D569" s="109">
        <f>IFERROR(__xludf.DUMMYFUNCTION("""COMPUTED_VALUE"""),54000.0)</f>
        <v>54000</v>
      </c>
      <c r="E569" s="109">
        <f>IFERROR(__xludf.DUMMYFUNCTION("""COMPUTED_VALUE"""),16000.0)</f>
        <v>16000</v>
      </c>
      <c r="F569" s="109" t="str">
        <f>IFERROR(__xludf.DUMMYFUNCTION("""COMPUTED_VALUE"""),"Serpent's Soul")</f>
        <v>Serpent's Soul</v>
      </c>
      <c r="G569" s="109" t="str">
        <f>IFERROR(__xludf.DUMMYFUNCTION("""COMPUTED_VALUE"""),"--")</f>
        <v>--</v>
      </c>
      <c r="H569" s="109" t="str">
        <f>IFERROR(__xludf.DUMMYFUNCTION("""COMPUTED_VALUE"""),"--")</f>
        <v>--</v>
      </c>
    </row>
    <row r="570">
      <c r="A570" s="92"/>
      <c r="B570" s="110" t="str">
        <f>IFERROR(__xludf.DUMMYFUNCTION("""COMPUTED_VALUE"""),"Malicious Robber Rabbit")</f>
        <v>Malicious Robber Rabbit</v>
      </c>
      <c r="C570" s="111" t="str">
        <f>IFERROR(__xludf.DUMMYFUNCTION("""COMPUTED_VALUE"""),"Beast")</f>
        <v>Beast</v>
      </c>
      <c r="D570" s="111">
        <f>IFERROR(__xludf.DUMMYFUNCTION("""COMPUTED_VALUE"""),1332.0)</f>
        <v>1332</v>
      </c>
      <c r="E570" s="111">
        <f>IFERROR(__xludf.DUMMYFUNCTION("""COMPUTED_VALUE"""),308.0)</f>
        <v>308</v>
      </c>
      <c r="F570" s="111" t="str">
        <f>IFERROR(__xludf.DUMMYFUNCTION("""COMPUTED_VALUE"""),"Hardy Hide")</f>
        <v>Hardy Hide</v>
      </c>
      <c r="G570" s="111" t="str">
        <f>IFERROR(__xludf.DUMMYFUNCTION("""COMPUTED_VALUE"""),"Robber Gloves")</f>
        <v>Robber Gloves</v>
      </c>
      <c r="H570" s="111" t="str">
        <f>IFERROR(__xludf.DUMMYFUNCTION("""COMPUTED_VALUE"""),"The Hotto Steppe, The Cryptic Crypt")</f>
        <v>The Hotto Steppe, The Cryptic Crypt</v>
      </c>
    </row>
    <row r="571">
      <c r="A571" s="95"/>
      <c r="B571" s="108" t="str">
        <f>IFERROR(__xludf.DUMMYFUNCTION("""COMPUTED_VALUE"""),"Malicious Clangoustine")</f>
        <v>Malicious Clangoustine</v>
      </c>
      <c r="C571" s="109" t="str">
        <f>IFERROR(__xludf.DUMMYFUNCTION("""COMPUTED_VALUE"""),"Nature")</f>
        <v>Nature</v>
      </c>
      <c r="D571" s="109">
        <f>IFERROR(__xludf.DUMMYFUNCTION("""COMPUTED_VALUE"""),5640.0)</f>
        <v>5640</v>
      </c>
      <c r="E571" s="109">
        <f>IFERROR(__xludf.DUMMYFUNCTION("""COMPUTED_VALUE"""),512.0)</f>
        <v>512</v>
      </c>
      <c r="F571" s="109" t="str">
        <f>IFERROR(__xludf.DUMMYFUNCTION("""COMPUTED_VALUE"""),"Densinium")</f>
        <v>Densinium</v>
      </c>
      <c r="G571" s="109" t="str">
        <f>IFERROR(__xludf.DUMMYFUNCTION("""COMPUTED_VALUE"""),"Molten Globules")</f>
        <v>Molten Globules</v>
      </c>
      <c r="H571" s="109" t="str">
        <f>IFERROR(__xludf.DUMMYFUNCTION("""COMPUTED_VALUE"""),"The Hotto Steppe")</f>
        <v>The Hotto Steppe</v>
      </c>
    </row>
    <row r="572">
      <c r="A572" s="92"/>
      <c r="B572" s="110" t="str">
        <f>IFERROR(__xludf.DUMMYFUNCTION("""COMPUTED_VALUE"""),"Equinox")</f>
        <v>Equinox</v>
      </c>
      <c r="C572" s="111" t="str">
        <f>IFERROR(__xludf.DUMMYFUNCTION("""COMPUTED_VALUE"""),"Beast")</f>
        <v>Beast</v>
      </c>
      <c r="D572" s="111">
        <f>IFERROR(__xludf.DUMMYFUNCTION("""COMPUTED_VALUE"""),1813.0)</f>
        <v>1813</v>
      </c>
      <c r="E572" s="111">
        <f>IFERROR(__xludf.DUMMYFUNCTION("""COMPUTED_VALUE"""),304.0)</f>
        <v>304</v>
      </c>
      <c r="F572" s="111" t="str">
        <f>IFERROR(__xludf.DUMMYFUNCTION("""COMPUTED_VALUE"""),"Horse Manure")</f>
        <v>Horse Manure</v>
      </c>
      <c r="G572" s="111" t="str">
        <f>IFERROR(__xludf.DUMMYFUNCTION("""COMPUTED_VALUE"""),"Springheal Boots")</f>
        <v>Springheal Boots</v>
      </c>
      <c r="H572" s="111" t="str">
        <f>IFERROR(__xludf.DUMMYFUNCTION("""COMPUTED_VALUE"""),"The Hotto Steppe")</f>
        <v>The Hotto Steppe</v>
      </c>
    </row>
    <row r="573">
      <c r="A573" s="95"/>
      <c r="B573" s="108" t="str">
        <f>IFERROR(__xludf.DUMMYFUNCTION("""COMPUTED_VALUE"""),"Malicious Lava Lumpling")</f>
        <v>Malicious Lava Lumpling</v>
      </c>
      <c r="C573" s="109" t="str">
        <f>IFERROR(__xludf.DUMMYFUNCTION("""COMPUTED_VALUE"""),"Material")</f>
        <v>Material</v>
      </c>
      <c r="D573" s="109">
        <f>IFERROR(__xludf.DUMMYFUNCTION("""COMPUTED_VALUE"""),1250.0)</f>
        <v>1250</v>
      </c>
      <c r="E573" s="109">
        <f>IFERROR(__xludf.DUMMYFUNCTION("""COMPUTED_VALUE"""),307.0)</f>
        <v>307</v>
      </c>
      <c r="F573" s="109" t="str">
        <f>IFERROR(__xludf.DUMMYFUNCTION("""COMPUTED_VALUE"""),"Lava Lump")</f>
        <v>Lava Lump</v>
      </c>
      <c r="G573" s="109" t="str">
        <f>IFERROR(__xludf.DUMMYFUNCTION("""COMPUTED_VALUE"""),"Red Wood")</f>
        <v>Red Wood</v>
      </c>
      <c r="H573" s="109" t="str">
        <f>IFERROR(__xludf.DUMMYFUNCTION("""COMPUTED_VALUE"""),"The Hotto Steppe, Mount Huji")</f>
        <v>The Hotto Steppe, Mount Huji</v>
      </c>
    </row>
    <row r="574">
      <c r="A574" s="92"/>
      <c r="B574" s="110" t="str">
        <f>IFERROR(__xludf.DUMMYFUNCTION("""COMPUTED_VALUE"""),"Malicious Slick Slime")</f>
        <v>Malicious Slick Slime</v>
      </c>
      <c r="C574" s="111" t="str">
        <f>IFERROR(__xludf.DUMMYFUNCTION("""COMPUTED_VALUE"""),"Slime")</f>
        <v>Slime</v>
      </c>
      <c r="D574" s="111">
        <f>IFERROR(__xludf.DUMMYFUNCTION("""COMPUTED_VALUE"""),1174.0)</f>
        <v>1174</v>
      </c>
      <c r="E574" s="111">
        <f>IFERROR(__xludf.DUMMYFUNCTION("""COMPUTED_VALUE"""),276.0)</f>
        <v>276</v>
      </c>
      <c r="F574" s="111" t="str">
        <f>IFERROR(__xludf.DUMMYFUNCTION("""COMPUTED_VALUE"""),"Goobricant")</f>
        <v>Goobricant</v>
      </c>
      <c r="G574" s="111" t="str">
        <f>IFERROR(__xludf.DUMMYFUNCTION("""COMPUTED_VALUE"""),"Mythril Ore")</f>
        <v>Mythril Ore</v>
      </c>
      <c r="H574" s="111" t="str">
        <f>IFERROR(__xludf.DUMMYFUNCTION("""COMPUTED_VALUE"""),"The Hotto Steppe, Mount Huji")</f>
        <v>The Hotto Steppe, Mount Huji</v>
      </c>
    </row>
    <row r="575">
      <c r="A575" s="95"/>
      <c r="B575" s="108" t="str">
        <f>IFERROR(__xludf.DUMMYFUNCTION("""COMPUTED_VALUE"""),"Malicious Drohl Drone")</f>
        <v>Malicious Drohl Drone</v>
      </c>
      <c r="C575" s="109" t="str">
        <f>IFERROR(__xludf.DUMMYFUNCTION("""COMPUTED_VALUE"""),"Undead")</f>
        <v>Undead</v>
      </c>
      <c r="D575" s="109">
        <f>IFERROR(__xludf.DUMMYFUNCTION("""COMPUTED_VALUE"""),1404.0)</f>
        <v>1404</v>
      </c>
      <c r="E575" s="109">
        <f>IFERROR(__xludf.DUMMYFUNCTION("""COMPUTED_VALUE"""),377.0)</f>
        <v>377</v>
      </c>
      <c r="F575" s="109" t="str">
        <f>IFERROR(__xludf.DUMMYFUNCTION("""COMPUTED_VALUE"""),"Holy Water")</f>
        <v>Holy Water</v>
      </c>
      <c r="G575" s="109" t="str">
        <f>IFERROR(__xludf.DUMMYFUNCTION("""COMPUTED_VALUE"""),"Magic Water")</f>
        <v>Magic Water</v>
      </c>
      <c r="H575" s="109" t="str">
        <f>IFERROR(__xludf.DUMMYFUNCTION("""COMPUTED_VALUE"""),"The Cryptic Crypt, Mount Huji")</f>
        <v>The Cryptic Crypt, Mount Huji</v>
      </c>
    </row>
    <row r="576">
      <c r="A576" s="92"/>
      <c r="B576" s="110" t="str">
        <f>IFERROR(__xludf.DUMMYFUNCTION("""COMPUTED_VALUE"""),"Malicious Evangelizard")</f>
        <v>Malicious Evangelizard</v>
      </c>
      <c r="C576" s="111" t="str">
        <f>IFERROR(__xludf.DUMMYFUNCTION("""COMPUTED_VALUE"""),"Dragon")</f>
        <v>Dragon</v>
      </c>
      <c r="D576" s="111">
        <f>IFERROR(__xludf.DUMMYFUNCTION("""COMPUTED_VALUE"""),2410.0)</f>
        <v>2410</v>
      </c>
      <c r="E576" s="111">
        <f>IFERROR(__xludf.DUMMYFUNCTION("""COMPUTED_VALUE"""),509.0)</f>
        <v>509</v>
      </c>
      <c r="F576" s="111" t="str">
        <f>IFERROR(__xludf.DUMMYFUNCTION("""COMPUTED_VALUE"""),"Guru's Gloves")</f>
        <v>Guru's Gloves</v>
      </c>
      <c r="G576" s="111" t="str">
        <f>IFERROR(__xludf.DUMMYFUNCTION("""COMPUTED_VALUE"""),"Seed of Sorcery")</f>
        <v>Seed of Sorcery</v>
      </c>
      <c r="H576" s="111" t="str">
        <f>IFERROR(__xludf.DUMMYFUNCTION("""COMPUTED_VALUE"""),"The Cryptic Crypt")</f>
        <v>The Cryptic Crypt</v>
      </c>
    </row>
    <row r="577">
      <c r="A577" s="95"/>
      <c r="B577" s="108" t="str">
        <f>IFERROR(__xludf.DUMMYFUNCTION("""COMPUTED_VALUE"""),"Malicious Mud Mannequin")</f>
        <v>Malicious Mud Mannequin</v>
      </c>
      <c r="C577" s="109" t="str">
        <f>IFERROR(__xludf.DUMMYFUNCTION("""COMPUTED_VALUE"""),"Material")</f>
        <v>Material</v>
      </c>
      <c r="D577" s="109">
        <f>IFERROR(__xludf.DUMMYFUNCTION("""COMPUTED_VALUE"""),1214.0)</f>
        <v>1214</v>
      </c>
      <c r="E577" s="109">
        <f>IFERROR(__xludf.DUMMYFUNCTION("""COMPUTED_VALUE"""),274.0)</f>
        <v>274</v>
      </c>
      <c r="F577" s="109" t="str">
        <f>IFERROR(__xludf.DUMMYFUNCTION("""COMPUTED_VALUE"""),"Glass Frit")</f>
        <v>Glass Frit</v>
      </c>
      <c r="G577" s="109" t="str">
        <f>IFERROR(__xludf.DUMMYFUNCTION("""COMPUTED_VALUE"""),"Magic Water")</f>
        <v>Magic Water</v>
      </c>
      <c r="H577" s="109" t="str">
        <f>IFERROR(__xludf.DUMMYFUNCTION("""COMPUTED_VALUE"""),"The Cryptic Crypt")</f>
        <v>The Cryptic Crypt</v>
      </c>
    </row>
    <row r="578">
      <c r="A578" s="92"/>
      <c r="B578" s="110" t="str">
        <f>IFERROR(__xludf.DUMMYFUNCTION("""COMPUTED_VALUE"""),"Uberkilling Machine")</f>
        <v>Uberkilling Machine</v>
      </c>
      <c r="C578" s="111" t="str">
        <f>IFERROR(__xludf.DUMMYFUNCTION("""COMPUTED_VALUE"""),"Machine")</f>
        <v>Machine</v>
      </c>
      <c r="D578" s="111">
        <f>IFERROR(__xludf.DUMMYFUNCTION("""COMPUTED_VALUE"""),3070.0)</f>
        <v>3070</v>
      </c>
      <c r="E578" s="111">
        <f>IFERROR(__xludf.DUMMYFUNCTION("""COMPUTED_VALUE"""),630.0)</f>
        <v>630</v>
      </c>
      <c r="F578" s="111" t="str">
        <f>IFERROR(__xludf.DUMMYFUNCTION("""COMPUTED_VALUE"""),"Molten Globules")</f>
        <v>Molten Globules</v>
      </c>
      <c r="G578" s="111" t="str">
        <f>IFERROR(__xludf.DUMMYFUNCTION("""COMPUTED_VALUE"""),"Uber Falcon Blade")</f>
        <v>Uber Falcon Blade</v>
      </c>
      <c r="H578" s="111" t="str">
        <f>IFERROR(__xludf.DUMMYFUNCTION("""COMPUTED_VALUE"""),"The Cryptic Crypt, The Battleground")</f>
        <v>The Cryptic Crypt, The Battleground</v>
      </c>
    </row>
    <row r="579">
      <c r="A579" s="95"/>
      <c r="B579" s="108" t="str">
        <f>IFERROR(__xludf.DUMMYFUNCTION("""COMPUTED_VALUE"""),"Malicious Pandora's Box")</f>
        <v>Malicious Pandora's Box</v>
      </c>
      <c r="C579" s="109" t="str">
        <f>IFERROR(__xludf.DUMMYFUNCTION("""COMPUTED_VALUE"""),"Material")</f>
        <v>Material</v>
      </c>
      <c r="D579" s="109">
        <f>IFERROR(__xludf.DUMMYFUNCTION("""COMPUTED_VALUE"""),4900.0)</f>
        <v>4900</v>
      </c>
      <c r="E579" s="109">
        <f>IFERROR(__xludf.DUMMYFUNCTION("""COMPUTED_VALUE"""),770.0)</f>
        <v>770</v>
      </c>
      <c r="F579" s="109" t="str">
        <f>IFERROR(__xludf.DUMMYFUNCTION("""COMPUTED_VALUE"""),"Seed of Skill")</f>
        <v>Seed of Skill</v>
      </c>
      <c r="G579" s="109" t="str">
        <f>IFERROR(__xludf.DUMMYFUNCTION("""COMPUTED_VALUE"""),"--")</f>
        <v>--</v>
      </c>
      <c r="H579" s="109" t="str">
        <f>IFERROR(__xludf.DUMMYFUNCTION("""COMPUTED_VALUE"""),"--")</f>
        <v>--</v>
      </c>
    </row>
    <row r="580">
      <c r="A580" s="92"/>
      <c r="B580" s="110" t="str">
        <f>IFERROR(__xludf.DUMMYFUNCTION("""COMPUTED_VALUE"""),"Malicious Grinade")</f>
        <v>Malicious Grinade</v>
      </c>
      <c r="C580" s="111" t="str">
        <f>IFERROR(__xludf.DUMMYFUNCTION("""COMPUTED_VALUE"""),"Material")</f>
        <v>Material</v>
      </c>
      <c r="D580" s="111">
        <f>IFERROR(__xludf.DUMMYFUNCTION("""COMPUTED_VALUE"""),1427.0)</f>
        <v>1427</v>
      </c>
      <c r="E580" s="111">
        <f>IFERROR(__xludf.DUMMYFUNCTION("""COMPUTED_VALUE"""),307.0)</f>
        <v>307</v>
      </c>
      <c r="F580" s="111" t="str">
        <f>IFERROR(__xludf.DUMMYFUNCTION("""COMPUTED_VALUE"""),"Mirrorstone")</f>
        <v>Mirrorstone</v>
      </c>
      <c r="G580" s="111" t="str">
        <f>IFERROR(__xludf.DUMMYFUNCTION("""COMPUTED_VALUE"""),"Silver Ore")</f>
        <v>Silver Ore</v>
      </c>
      <c r="H580" s="111" t="str">
        <f>IFERROR(__xludf.DUMMYFUNCTION("""COMPUTED_VALUE"""),"The Arborian Highlands")</f>
        <v>The Arborian Highlands</v>
      </c>
    </row>
    <row r="581">
      <c r="A581" s="95"/>
      <c r="B581" s="108" t="str">
        <f>IFERROR(__xludf.DUMMYFUNCTION("""COMPUTED_VALUE"""),"Malicious Pine Needler")</f>
        <v>Malicious Pine Needler</v>
      </c>
      <c r="C581" s="109" t="str">
        <f>IFERROR(__xludf.DUMMYFUNCTION("""COMPUTED_VALUE"""),"Humanoid")</f>
        <v>Humanoid</v>
      </c>
      <c r="D581" s="109">
        <f>IFERROR(__xludf.DUMMYFUNCTION("""COMPUTED_VALUE"""),1073.0)</f>
        <v>1073</v>
      </c>
      <c r="E581" s="109">
        <f>IFERROR(__xludf.DUMMYFUNCTION("""COMPUTED_VALUE"""),228.0)</f>
        <v>228</v>
      </c>
      <c r="F581" s="109" t="str">
        <f>IFERROR(__xludf.DUMMYFUNCTION("""COMPUTED_VALUE"""),"Lambswool")</f>
        <v>Lambswool</v>
      </c>
      <c r="G581" s="109" t="str">
        <f>IFERROR(__xludf.DUMMYFUNCTION("""COMPUTED_VALUE"""),"Yggdrasil Leaf")</f>
        <v>Yggdrasil Leaf</v>
      </c>
      <c r="H581" s="109" t="str">
        <f>IFERROR(__xludf.DUMMYFUNCTION("""COMPUTED_VALUE"""),"The Arborian Highlands, The First Forest")</f>
        <v>The Arborian Highlands, The First Forest</v>
      </c>
    </row>
    <row r="582">
      <c r="A582" s="92"/>
      <c r="B582" s="110" t="str">
        <f>IFERROR(__xludf.DUMMYFUNCTION("""COMPUTED_VALUE"""),"Malicious Living Statue")</f>
        <v>Malicious Living Statue</v>
      </c>
      <c r="C582" s="111" t="str">
        <f>IFERROR(__xludf.DUMMYFUNCTION("""COMPUTED_VALUE"""),"Material")</f>
        <v>Material</v>
      </c>
      <c r="D582" s="111">
        <f>IFERROR(__xludf.DUMMYFUNCTION("""COMPUTED_VALUE"""),2603.0)</f>
        <v>2603</v>
      </c>
      <c r="E582" s="111">
        <f>IFERROR(__xludf.DUMMYFUNCTION("""COMPUTED_VALUE"""),603.0)</f>
        <v>603</v>
      </c>
      <c r="F582" s="111" t="str">
        <f>IFERROR(__xludf.DUMMYFUNCTION("""COMPUTED_VALUE"""),"Flintstone")</f>
        <v>Flintstone</v>
      </c>
      <c r="G582" s="111" t="str">
        <f>IFERROR(__xludf.DUMMYFUNCTION("""COMPUTED_VALUE"""),"Dieamend")</f>
        <v>Dieamend</v>
      </c>
      <c r="H582" s="111" t="str">
        <f>IFERROR(__xludf.DUMMYFUNCTION("""COMPUTED_VALUE"""),"The Royal Library, The First Forest")</f>
        <v>The Royal Library, The First Forest</v>
      </c>
    </row>
    <row r="583">
      <c r="A583" s="95"/>
      <c r="B583" s="108" t="str">
        <f>IFERROR(__xludf.DUMMYFUNCTION("""COMPUTED_VALUE"""),"Malicious Jowler")</f>
        <v>Malicious Jowler</v>
      </c>
      <c r="C583" s="109" t="str">
        <f>IFERROR(__xludf.DUMMYFUNCTION("""COMPUTED_VALUE"""),"Beast")</f>
        <v>Beast</v>
      </c>
      <c r="D583" s="109">
        <f>IFERROR(__xludf.DUMMYFUNCTION("""COMPUTED_VALUE"""),1525.0)</f>
        <v>1525</v>
      </c>
      <c r="E583" s="109">
        <f>IFERROR(__xludf.DUMMYFUNCTION("""COMPUTED_VALUE"""),414.0)</f>
        <v>414</v>
      </c>
      <c r="F583" s="109" t="str">
        <f>IFERROR(__xludf.DUMMYFUNCTION("""COMPUTED_VALUE"""),"Magic Beast Horn")</f>
        <v>Magic Beast Horn</v>
      </c>
      <c r="G583" s="109" t="str">
        <f>IFERROR(__xludf.DUMMYFUNCTION("""COMPUTED_VALUE"""),"Cumulonimbough")</f>
        <v>Cumulonimbough</v>
      </c>
      <c r="H583" s="109" t="str">
        <f>IFERROR(__xludf.DUMMYFUNCTION("""COMPUTED_VALUE"""),"The First Forest")</f>
        <v>The First Forest</v>
      </c>
    </row>
    <row r="584">
      <c r="A584" s="92"/>
      <c r="B584" s="110" t="str">
        <f>IFERROR(__xludf.DUMMYFUNCTION("""COMPUTED_VALUE"""),"Malicious Mosstodon")</f>
        <v>Malicious Mosstodon</v>
      </c>
      <c r="C584" s="111" t="str">
        <f>IFERROR(__xludf.DUMMYFUNCTION("""COMPUTED_VALUE"""),"Material")</f>
        <v>Material</v>
      </c>
      <c r="D584" s="111">
        <f>IFERROR(__xludf.DUMMYFUNCTION("""COMPUTED_VALUE"""),2016.0)</f>
        <v>2016</v>
      </c>
      <c r="E584" s="111">
        <f>IFERROR(__xludf.DUMMYFUNCTION("""COMPUTED_VALUE"""),450.0)</f>
        <v>450</v>
      </c>
      <c r="F584" s="111" t="str">
        <f>IFERROR(__xludf.DUMMYFUNCTION("""COMPUTED_VALUE"""),"Equable Emerald")</f>
        <v>Equable Emerald</v>
      </c>
      <c r="G584" s="111" t="str">
        <f>IFERROR(__xludf.DUMMYFUNCTION("""COMPUTED_VALUE"""),"Seed of Defence")</f>
        <v>Seed of Defence</v>
      </c>
      <c r="H584" s="111" t="str">
        <f>IFERROR(__xludf.DUMMYFUNCTION("""COMPUTED_VALUE"""),"The First Forest")</f>
        <v>The First Forest</v>
      </c>
    </row>
    <row r="585">
      <c r="A585" s="95"/>
      <c r="B585" s="108" t="str">
        <f>IFERROR(__xludf.DUMMYFUNCTION("""COMPUTED_VALUE"""),"Malicious Stump Chump")</f>
        <v>Malicious Stump Chump</v>
      </c>
      <c r="C585" s="109" t="str">
        <f>IFERROR(__xludf.DUMMYFUNCTION("""COMPUTED_VALUE"""),"Nature")</f>
        <v>Nature</v>
      </c>
      <c r="D585" s="109">
        <f>IFERROR(__xludf.DUMMYFUNCTION("""COMPUTED_VALUE"""),1330.0)</f>
        <v>1330</v>
      </c>
      <c r="E585" s="109">
        <f>IFERROR(__xludf.DUMMYFUNCTION("""COMPUTED_VALUE"""),277.0)</f>
        <v>277</v>
      </c>
      <c r="F585" s="109" t="str">
        <f>IFERROR(__xludf.DUMMYFUNCTION("""COMPUTED_VALUE"""),"Red Wood")</f>
        <v>Red Wood</v>
      </c>
      <c r="G585" s="109" t="str">
        <f>IFERROR(__xludf.DUMMYFUNCTION("""COMPUTED_VALUE"""),"Yggdrasil Leaf")</f>
        <v>Yggdrasil Leaf</v>
      </c>
      <c r="H585" s="109" t="str">
        <f>IFERROR(__xludf.DUMMYFUNCTION("""COMPUTED_VALUE"""),"The First Forest")</f>
        <v>The First Forest</v>
      </c>
    </row>
    <row r="586">
      <c r="A586" s="92"/>
      <c r="B586" s="110" t="str">
        <f>IFERROR(__xludf.DUMMYFUNCTION("""COMPUTED_VALUE"""),"Malicious Fruity Succubat")</f>
        <v>Malicious Fruity Succubat</v>
      </c>
      <c r="C586" s="111" t="str">
        <f>IFERROR(__xludf.DUMMYFUNCTION("""COMPUTED_VALUE"""),"Bird")</f>
        <v>Bird</v>
      </c>
      <c r="D586" s="111">
        <f>IFERROR(__xludf.DUMMYFUNCTION("""COMPUTED_VALUE"""),1411.0)</f>
        <v>1411</v>
      </c>
      <c r="E586" s="111">
        <f>IFERROR(__xludf.DUMMYFUNCTION("""COMPUTED_VALUE"""),303.0)</f>
        <v>303</v>
      </c>
      <c r="F586" s="111" t="str">
        <f>IFERROR(__xludf.DUMMYFUNCTION("""COMPUTED_VALUE"""),"Cumulonimbough")</f>
        <v>Cumulonimbough</v>
      </c>
      <c r="G586" s="111" t="str">
        <f>IFERROR(__xludf.DUMMYFUNCTION("""COMPUTED_VALUE"""),"Infernails")</f>
        <v>Infernails</v>
      </c>
      <c r="H586" s="111" t="str">
        <f>IFERROR(__xludf.DUMMYFUNCTION("""COMPUTED_VALUE"""),"The First Forest")</f>
        <v>The First Forest</v>
      </c>
    </row>
    <row r="587">
      <c r="A587" s="95"/>
      <c r="B587" s="108" t="str">
        <f>IFERROR(__xludf.DUMMYFUNCTION("""COMPUTED_VALUE"""),"Malicious Hunter Mech")</f>
        <v>Malicious Hunter Mech</v>
      </c>
      <c r="C587" s="109" t="str">
        <f>IFERROR(__xludf.DUMMYFUNCTION("""COMPUTED_VALUE"""),"Machine")</f>
        <v>Machine</v>
      </c>
      <c r="D587" s="109">
        <f>IFERROR(__xludf.DUMMYFUNCTION("""COMPUTED_VALUE"""),3293.0)</f>
        <v>3293</v>
      </c>
      <c r="E587" s="109">
        <f>IFERROR(__xludf.DUMMYFUNCTION("""COMPUTED_VALUE"""),509.0)</f>
        <v>509</v>
      </c>
      <c r="F587" s="109" t="str">
        <f>IFERROR(__xludf.DUMMYFUNCTION("""COMPUTED_VALUE"""),"Silver Ore")</f>
        <v>Silver Ore</v>
      </c>
      <c r="G587" s="109" t="str">
        <f>IFERROR(__xludf.DUMMYFUNCTION("""COMPUTED_VALUE"""),"Molten Globules")</f>
        <v>Molten Globules</v>
      </c>
      <c r="H587" s="109" t="str">
        <f>IFERROR(__xludf.DUMMYFUNCTION("""COMPUTED_VALUE"""),"The Royal Library")</f>
        <v>The Royal Library</v>
      </c>
    </row>
    <row r="588">
      <c r="A588" s="98"/>
      <c r="B588" s="110" t="str">
        <f>IFERROR(__xludf.DUMMYFUNCTION("""COMPUTED_VALUE"""),"Malicious Wrecktor")</f>
        <v>Malicious Wrecktor</v>
      </c>
      <c r="C588" s="111" t="str">
        <f>IFERROR(__xludf.DUMMYFUNCTION("""COMPUTED_VALUE"""),"Demon")</f>
        <v>Demon</v>
      </c>
      <c r="D588" s="111">
        <f>IFERROR(__xludf.DUMMYFUNCTION("""COMPUTED_VALUE"""),1306.0)</f>
        <v>1306</v>
      </c>
      <c r="E588" s="111">
        <f>IFERROR(__xludf.DUMMYFUNCTION("""COMPUTED_VALUE"""),358.0)</f>
        <v>358</v>
      </c>
      <c r="F588" s="111" t="str">
        <f>IFERROR(__xludf.DUMMYFUNCTION("""COMPUTED_VALUE"""),"Sage's Elixir")</f>
        <v>Sage's Elixir</v>
      </c>
      <c r="G588" s="111" t="str">
        <f>IFERROR(__xludf.DUMMYFUNCTION("""COMPUTED_VALUE"""),"Seed of Therapeusis")</f>
        <v>Seed of Therapeusis</v>
      </c>
      <c r="H588" s="111" t="str">
        <f>IFERROR(__xludf.DUMMYFUNCTION("""COMPUTED_VALUE"""),"The Royal Library")</f>
        <v>The Royal Library</v>
      </c>
    </row>
    <row r="589">
      <c r="A589" s="107" t="str">
        <f>IFERROR(__xludf.DUMMYFUNCTION("""COMPUTED_VALUE"""),"P30")</f>
        <v>P30</v>
      </c>
      <c r="B589" s="108" t="str">
        <f>IFERROR(__xludf.DUMMYFUNCTION("""COMPUTED_VALUE"""),"Kleptoreptile")</f>
        <v>Kleptoreptile</v>
      </c>
      <c r="C589" s="109" t="str">
        <f>IFERROR(__xludf.DUMMYFUNCTION("""COMPUTED_VALUE"""),"Dragon")</f>
        <v>Dragon</v>
      </c>
      <c r="D589" s="109">
        <f>IFERROR(__xludf.DUMMYFUNCTION("""COMPUTED_VALUE"""),3020.0)</f>
        <v>3020</v>
      </c>
      <c r="E589" s="109">
        <f>IFERROR(__xludf.DUMMYFUNCTION("""COMPUTED_VALUE"""),620.0)</f>
        <v>620</v>
      </c>
      <c r="F589" s="109" t="str">
        <f>IFERROR(__xludf.DUMMYFUNCTION("""COMPUTED_VALUE"""),"Serpent's Soul")</f>
        <v>Serpent's Soul</v>
      </c>
      <c r="G589" s="109" t="str">
        <f>IFERROR(__xludf.DUMMYFUNCTION("""COMPUTED_VALUE"""),"Dragon Robe")</f>
        <v>Dragon Robe</v>
      </c>
      <c r="H589" s="109" t="str">
        <f>IFERROR(__xludf.DUMMYFUNCTION("""COMPUTED_VALUE"""),"The Royal Library")</f>
        <v>The Royal Library</v>
      </c>
    </row>
    <row r="590">
      <c r="A590" s="92"/>
      <c r="B590" s="110" t="str">
        <f>IFERROR(__xludf.DUMMYFUNCTION("""COMPUTED_VALUE"""),"Malicious Bodkin Bowyer")</f>
        <v>Malicious Bodkin Bowyer</v>
      </c>
      <c r="C590" s="111" t="str">
        <f>IFERROR(__xludf.DUMMYFUNCTION("""COMPUTED_VALUE"""),"Humanoid")</f>
        <v>Humanoid</v>
      </c>
      <c r="D590" s="111">
        <f>IFERROR(__xludf.DUMMYFUNCTION("""COMPUTED_VALUE"""),1175.0)</f>
        <v>1175</v>
      </c>
      <c r="E590" s="111">
        <f>IFERROR(__xludf.DUMMYFUNCTION("""COMPUTED_VALUE"""),277.0)</f>
        <v>277</v>
      </c>
      <c r="F590" s="111" t="str">
        <f>IFERROR(__xludf.DUMMYFUNCTION("""COMPUTED_VALUE"""),"Leather Hat")</f>
        <v>Leather Hat</v>
      </c>
      <c r="G590" s="111" t="str">
        <f>IFERROR(__xludf.DUMMYFUNCTION("""COMPUTED_VALUE"""),"Leather Cape")</f>
        <v>Leather Cape</v>
      </c>
      <c r="H590" s="111" t="str">
        <f>IFERROR(__xludf.DUMMYFUNCTION("""COMPUTED_VALUE"""),"The Hekswood")</f>
        <v>The Hekswood</v>
      </c>
    </row>
    <row r="591">
      <c r="A591" s="95"/>
      <c r="B591" s="108" t="str">
        <f>IFERROR(__xludf.DUMMYFUNCTION("""COMPUTED_VALUE"""),"Malicious Hat Hamwitch")</f>
        <v>Malicious Hat Hamwitch</v>
      </c>
      <c r="C591" s="109" t="str">
        <f>IFERROR(__xludf.DUMMYFUNCTION("""COMPUTED_VALUE"""),"Material")</f>
        <v>Material</v>
      </c>
      <c r="D591" s="109">
        <f>IFERROR(__xludf.DUMMYFUNCTION("""COMPUTED_VALUE"""),1109.0)</f>
        <v>1109</v>
      </c>
      <c r="E591" s="109">
        <f>IFERROR(__xludf.DUMMYFUNCTION("""COMPUTED_VALUE"""),252.0)</f>
        <v>252</v>
      </c>
      <c r="F591" s="109" t="str">
        <f>IFERROR(__xludf.DUMMYFUNCTION("""COMPUTED_VALUE"""),"Magic Beast Hide")</f>
        <v>Magic Beast Hide</v>
      </c>
      <c r="G591" s="109" t="str">
        <f>IFERROR(__xludf.DUMMYFUNCTION("""COMPUTED_VALUE"""),"Magical Hat")</f>
        <v>Magical Hat</v>
      </c>
      <c r="H591" s="109" t="str">
        <f>IFERROR(__xludf.DUMMYFUNCTION("""COMPUTED_VALUE"""),"The Hekswood")</f>
        <v>The Hekswood</v>
      </c>
    </row>
    <row r="592">
      <c r="A592" s="92"/>
      <c r="B592" s="110" t="str">
        <f>IFERROR(__xludf.DUMMYFUNCTION("""COMPUTED_VALUE"""),"Red Mist")</f>
        <v>Red Mist</v>
      </c>
      <c r="C592" s="111" t="str">
        <f>IFERROR(__xludf.DUMMYFUNCTION("""COMPUTED_VALUE"""),"Elemental")</f>
        <v>Elemental</v>
      </c>
      <c r="D592" s="111">
        <f>IFERROR(__xludf.DUMMYFUNCTION("""COMPUTED_VALUE"""),1440.0)</f>
        <v>1440</v>
      </c>
      <c r="E592" s="111">
        <f>IFERROR(__xludf.DUMMYFUNCTION("""COMPUTED_VALUE"""),347.0)</f>
        <v>347</v>
      </c>
      <c r="F592" s="111" t="str">
        <f>IFERROR(__xludf.DUMMYFUNCTION("""COMPUTED_VALUE"""),"Red Wood")</f>
        <v>Red Wood</v>
      </c>
      <c r="G592" s="111" t="str">
        <f>IFERROR(__xludf.DUMMYFUNCTION("""COMPUTED_VALUE"""),"Brain Drainer")</f>
        <v>Brain Drainer</v>
      </c>
      <c r="H592" s="111" t="str">
        <f>IFERROR(__xludf.DUMMYFUNCTION("""COMPUTED_VALUE"""),"The Hekswood, The Battleground")</f>
        <v>The Hekswood, The Battleground</v>
      </c>
    </row>
    <row r="593">
      <c r="A593" s="95"/>
      <c r="B593" s="108" t="str">
        <f>IFERROR(__xludf.DUMMYFUNCTION("""COMPUTED_VALUE"""),"Malicious Drackyma")</f>
        <v>Malicious Drackyma</v>
      </c>
      <c r="C593" s="109" t="str">
        <f>IFERROR(__xludf.DUMMYFUNCTION("""COMPUTED_VALUE"""),"Bird")</f>
        <v>Bird</v>
      </c>
      <c r="D593" s="109">
        <f>IFERROR(__xludf.DUMMYFUNCTION("""COMPUTED_VALUE"""),1322.0)</f>
        <v>1322</v>
      </c>
      <c r="E593" s="109">
        <f>IFERROR(__xludf.DUMMYFUNCTION("""COMPUTED_VALUE"""),329.0)</f>
        <v>329</v>
      </c>
      <c r="F593" s="109" t="str">
        <f>IFERROR(__xludf.DUMMYFUNCTION("""COMPUTED_VALUE"""),"Wing of Bat")</f>
        <v>Wing of Bat</v>
      </c>
      <c r="G593" s="109" t="str">
        <f>IFERROR(__xludf.DUMMYFUNCTION("""COMPUTED_VALUE"""),"Gold Ring")</f>
        <v>Gold Ring</v>
      </c>
      <c r="H593" s="109" t="str">
        <f>IFERROR(__xludf.DUMMYFUNCTION("""COMPUTED_VALUE"""),"The Hekswood")</f>
        <v>The Hekswood</v>
      </c>
    </row>
    <row r="594">
      <c r="A594" s="92"/>
      <c r="B594" s="110" t="str">
        <f>IFERROR(__xludf.DUMMYFUNCTION("""COMPUTED_VALUE"""),"Malicious Jormun")</f>
        <v>Malicious Jormun</v>
      </c>
      <c r="C594" s="111" t="str">
        <f>IFERROR(__xludf.DUMMYFUNCTION("""COMPUTED_VALUE"""),"Beast")</f>
        <v>Beast</v>
      </c>
      <c r="D594" s="111">
        <f>IFERROR(__xludf.DUMMYFUNCTION("""COMPUTED_VALUE"""),12000.0)</f>
        <v>12000</v>
      </c>
      <c r="E594" s="111">
        <f>IFERROR(__xludf.DUMMYFUNCTION("""COMPUTED_VALUE"""),3000.0)</f>
        <v>3000</v>
      </c>
      <c r="F594" s="111" t="str">
        <f>IFERROR(__xludf.DUMMYFUNCTION("""COMPUTED_VALUE"""),"--")</f>
        <v>--</v>
      </c>
      <c r="G594" s="111" t="str">
        <f>IFERROR(__xludf.DUMMYFUNCTION("""COMPUTED_VALUE"""),"--")</f>
        <v>--</v>
      </c>
      <c r="H594" s="111" t="str">
        <f>IFERROR(__xludf.DUMMYFUNCTION("""COMPUTED_VALUE"""),"--")</f>
        <v>--</v>
      </c>
    </row>
    <row r="595">
      <c r="A595" s="95"/>
      <c r="B595" s="108" t="str">
        <f>IFERROR(__xludf.DUMMYFUNCTION("""COMPUTED_VALUE"""),"Malicious Visor Kaiser")</f>
        <v>Malicious Visor Kaiser</v>
      </c>
      <c r="C595" s="109" t="str">
        <f>IFERROR(__xludf.DUMMYFUNCTION("""COMPUTED_VALUE"""),"Machine")</f>
        <v>Machine</v>
      </c>
      <c r="D595" s="109">
        <f>IFERROR(__xludf.DUMMYFUNCTION("""COMPUTED_VALUE"""),2428.0)</f>
        <v>2428</v>
      </c>
      <c r="E595" s="109">
        <f>IFERROR(__xludf.DUMMYFUNCTION("""COMPUTED_VALUE"""),504.0)</f>
        <v>504</v>
      </c>
      <c r="F595" s="109" t="str">
        <f>IFERROR(__xludf.DUMMYFUNCTION("""COMPUTED_VALUE"""),"Densinium")</f>
        <v>Densinium</v>
      </c>
      <c r="G595" s="109" t="str">
        <f>IFERROR(__xludf.DUMMYFUNCTION("""COMPUTED_VALUE"""),"Equable Emerald")</f>
        <v>Equable Emerald</v>
      </c>
      <c r="H595" s="109" t="str">
        <f>IFERROR(__xludf.DUMMYFUNCTION("""COMPUTED_VALUE"""),"Mount Huji")</f>
        <v>Mount Huji</v>
      </c>
    </row>
    <row r="596">
      <c r="A596" s="92"/>
      <c r="B596" s="110" t="str">
        <f>IFERROR(__xludf.DUMMYFUNCTION("""COMPUTED_VALUE"""),"Malicious Haystack Needler")</f>
        <v>Malicious Haystack Needler</v>
      </c>
      <c r="C596" s="111" t="str">
        <f>IFERROR(__xludf.DUMMYFUNCTION("""COMPUTED_VALUE"""),"Humanoid")</f>
        <v>Humanoid</v>
      </c>
      <c r="D596" s="111">
        <f>IFERROR(__xludf.DUMMYFUNCTION("""COMPUTED_VALUE"""),1172.0)</f>
        <v>1172</v>
      </c>
      <c r="E596" s="111">
        <f>IFERROR(__xludf.DUMMYFUNCTION("""COMPUTED_VALUE"""),256.0)</f>
        <v>256</v>
      </c>
      <c r="F596" s="111" t="str">
        <f>IFERROR(__xludf.DUMMYFUNCTION("""COMPUTED_VALUE"""),"Lambswool")</f>
        <v>Lambswool</v>
      </c>
      <c r="G596" s="111" t="str">
        <f>IFERROR(__xludf.DUMMYFUNCTION("""COMPUTED_VALUE"""),"Rockbomb Shard")</f>
        <v>Rockbomb Shard</v>
      </c>
      <c r="H596" s="111" t="str">
        <f>IFERROR(__xludf.DUMMYFUNCTION("""COMPUTED_VALUE"""),"Gallopolis Region")</f>
        <v>Gallopolis Region</v>
      </c>
    </row>
    <row r="597">
      <c r="A597" s="95"/>
      <c r="B597" s="108" t="str">
        <f>IFERROR(__xludf.DUMMYFUNCTION("""COMPUTED_VALUE"""),"Malicious Prestidigitator")</f>
        <v>Malicious Prestidigitator</v>
      </c>
      <c r="C597" s="109" t="str">
        <f>IFERROR(__xludf.DUMMYFUNCTION("""COMPUTED_VALUE"""),"Humanoid")</f>
        <v>Humanoid</v>
      </c>
      <c r="D597" s="109">
        <f>IFERROR(__xludf.DUMMYFUNCTION("""COMPUTED_VALUE"""),1684.0)</f>
        <v>1684</v>
      </c>
      <c r="E597" s="109">
        <f>IFERROR(__xludf.DUMMYFUNCTION("""COMPUTED_VALUE"""),467.0)</f>
        <v>467</v>
      </c>
      <c r="F597" s="109" t="str">
        <f>IFERROR(__xludf.DUMMYFUNCTION("""COMPUTED_VALUE"""),"Magic Water")</f>
        <v>Magic Water</v>
      </c>
      <c r="G597" s="109" t="str">
        <f>IFERROR(__xludf.DUMMYFUNCTION("""COMPUTED_VALUE"""),"Sage's Elixir")</f>
        <v>Sage's Elixir</v>
      </c>
      <c r="H597" s="109" t="str">
        <f>IFERROR(__xludf.DUMMYFUNCTION("""COMPUTED_VALUE"""),"Gallopolis Region")</f>
        <v>Gallopolis Region</v>
      </c>
    </row>
    <row r="598">
      <c r="A598" s="92"/>
      <c r="B598" s="110" t="str">
        <f>IFERROR(__xludf.DUMMYFUNCTION("""COMPUTED_VALUE"""),"Malicious Cactiball")</f>
        <v>Malicious Cactiball</v>
      </c>
      <c r="C598" s="111" t="str">
        <f>IFERROR(__xludf.DUMMYFUNCTION("""COMPUTED_VALUE"""),"Nature")</f>
        <v>Nature</v>
      </c>
      <c r="D598" s="111">
        <f>IFERROR(__xludf.DUMMYFUNCTION("""COMPUTED_VALUE"""),1460.0)</f>
        <v>1460</v>
      </c>
      <c r="E598" s="111">
        <f>IFERROR(__xludf.DUMMYFUNCTION("""COMPUTED_VALUE"""),343.0)</f>
        <v>343</v>
      </c>
      <c r="F598" s="111" t="str">
        <f>IFERROR(__xludf.DUMMYFUNCTION("""COMPUTED_VALUE"""),"Duneberry")</f>
        <v>Duneberry</v>
      </c>
      <c r="G598" s="111" t="str">
        <f>IFERROR(__xludf.DUMMYFUNCTION("""COMPUTED_VALUE"""),"Thorn Whip")</f>
        <v>Thorn Whip</v>
      </c>
      <c r="H598" s="111" t="str">
        <f>IFERROR(__xludf.DUMMYFUNCTION("""COMPUTED_VALUE"""),"Gallopolis Region")</f>
        <v>Gallopolis Region</v>
      </c>
    </row>
    <row r="599">
      <c r="A599" s="95"/>
      <c r="B599" s="108" t="str">
        <f>IFERROR(__xludf.DUMMYFUNCTION("""COMPUTED_VALUE"""),"Pruslas")</f>
        <v>Pruslas</v>
      </c>
      <c r="C599" s="109" t="str">
        <f>IFERROR(__xludf.DUMMYFUNCTION("""COMPUTED_VALUE"""),"Dragon")</f>
        <v>Dragon</v>
      </c>
      <c r="D599" s="109">
        <f>IFERROR(__xludf.DUMMYFUNCTION("""COMPUTED_VALUE"""),4640.0)</f>
        <v>4640</v>
      </c>
      <c r="E599" s="109">
        <f>IFERROR(__xludf.DUMMYFUNCTION("""COMPUTED_VALUE"""),657.0)</f>
        <v>657</v>
      </c>
      <c r="F599" s="109" t="str">
        <f>IFERROR(__xludf.DUMMYFUNCTION("""COMPUTED_VALUE"""),"Serpent's Soul")</f>
        <v>Serpent's Soul</v>
      </c>
      <c r="G599" s="109" t="str">
        <f>IFERROR(__xludf.DUMMYFUNCTION("""COMPUTED_VALUE"""),"Mighty Armlet")</f>
        <v>Mighty Armlet</v>
      </c>
      <c r="H599" s="109" t="str">
        <f>IFERROR(__xludf.DUMMYFUNCTION("""COMPUTED_VALUE"""),"Gallopolis Region")</f>
        <v>Gallopolis Region</v>
      </c>
    </row>
    <row r="600">
      <c r="A600" s="92"/>
      <c r="B600" s="110" t="str">
        <f>IFERROR(__xludf.DUMMYFUNCTION("""COMPUTED_VALUE"""),"Malicilous Cactoltl")</f>
        <v>Malicilous Cactoltl</v>
      </c>
      <c r="C600" s="111" t="str">
        <f>IFERROR(__xludf.DUMMYFUNCTION("""COMPUTED_VALUE"""),"Dragon")</f>
        <v>Dragon</v>
      </c>
      <c r="D600" s="111">
        <f>IFERROR(__xludf.DUMMYFUNCTION("""COMPUTED_VALUE"""),6400.0)</f>
        <v>6400</v>
      </c>
      <c r="E600" s="111">
        <f>IFERROR(__xludf.DUMMYFUNCTION("""COMPUTED_VALUE"""),800.0)</f>
        <v>800</v>
      </c>
      <c r="F600" s="111" t="str">
        <f>IFERROR(__xludf.DUMMYFUNCTION("""COMPUTED_VALUE"""),"Sunny Citrine")</f>
        <v>Sunny Citrine</v>
      </c>
      <c r="G600" s="111" t="str">
        <f>IFERROR(__xludf.DUMMYFUNCTION("""COMPUTED_VALUE"""),"Earthwyrm's Eye")</f>
        <v>Earthwyrm's Eye</v>
      </c>
      <c r="H600" s="111" t="str">
        <f>IFERROR(__xludf.DUMMYFUNCTION("""COMPUTED_VALUE"""),"Gallopolis Region")</f>
        <v>Gallopolis Region</v>
      </c>
    </row>
    <row r="601">
      <c r="A601" s="95"/>
      <c r="B601" s="108" t="str">
        <f>IFERROR(__xludf.DUMMYFUNCTION("""COMPUTED_VALUE"""),"Malicious Splatypunk")</f>
        <v>Malicious Splatypunk</v>
      </c>
      <c r="C601" s="109" t="str">
        <f>IFERROR(__xludf.DUMMYFUNCTION("""COMPUTED_VALUE"""),"Beast")</f>
        <v>Beast</v>
      </c>
      <c r="D601" s="109">
        <f>IFERROR(__xludf.DUMMYFUNCTION("""COMPUTED_VALUE"""),1403.0)</f>
        <v>1403</v>
      </c>
      <c r="E601" s="109">
        <f>IFERROR(__xludf.DUMMYFUNCTION("""COMPUTED_VALUE"""),365.0)</f>
        <v>365</v>
      </c>
      <c r="F601" s="109" t="str">
        <f>IFERROR(__xludf.DUMMYFUNCTION("""COMPUTED_VALUE"""),"Fine Fur")</f>
        <v>Fine Fur</v>
      </c>
      <c r="G601" s="109" t="str">
        <f>IFERROR(__xludf.DUMMYFUNCTION("""COMPUTED_VALUE"""),"Fur Hood")</f>
        <v>Fur Hood</v>
      </c>
      <c r="H601" s="109" t="str">
        <f>IFERROR(__xludf.DUMMYFUNCTION("""COMPUTED_VALUE"""),"Laguna di Gondolia")</f>
        <v>Laguna di Gondolia</v>
      </c>
    </row>
    <row r="602">
      <c r="A602" s="92"/>
      <c r="B602" s="110" t="str">
        <f>IFERROR(__xludf.DUMMYFUNCTION("""COMPUTED_VALUE"""),"Malicious Rotten Eggsoskeleton")</f>
        <v>Malicious Rotten Eggsoskeleton</v>
      </c>
      <c r="C602" s="111" t="str">
        <f>IFERROR(__xludf.DUMMYFUNCTION("""COMPUTED_VALUE"""),"Machine")</f>
        <v>Machine</v>
      </c>
      <c r="D602" s="111">
        <f>IFERROR(__xludf.DUMMYFUNCTION("""COMPUTED_VALUE"""),1581.0)</f>
        <v>1581</v>
      </c>
      <c r="E602" s="111">
        <f>IFERROR(__xludf.DUMMYFUNCTION("""COMPUTED_VALUE"""),425.0)</f>
        <v>425</v>
      </c>
      <c r="F602" s="111" t="str">
        <f>IFERROR(__xludf.DUMMYFUNCTION("""COMPUTED_VALUE"""),"Pale Pearl")</f>
        <v>Pale Pearl</v>
      </c>
      <c r="G602" s="111" t="str">
        <f>IFERROR(__xludf.DUMMYFUNCTION("""COMPUTED_VALUE"""),"Equable Emerald")</f>
        <v>Equable Emerald</v>
      </c>
      <c r="H602" s="111" t="str">
        <f>IFERROR(__xludf.DUMMYFUNCTION("""COMPUTED_VALUE"""),"The Eerie Eyrie")</f>
        <v>The Eerie Eyrie</v>
      </c>
    </row>
    <row r="603">
      <c r="A603" s="95"/>
      <c r="B603" s="108" t="str">
        <f>IFERROR(__xludf.DUMMYFUNCTION("""COMPUTED_VALUE"""),"Malicious Knight Aberrant")</f>
        <v>Malicious Knight Aberrant</v>
      </c>
      <c r="C603" s="109" t="str">
        <f>IFERROR(__xludf.DUMMYFUNCTION("""COMPUTED_VALUE"""),"Demon")</f>
        <v>Demon</v>
      </c>
      <c r="D603" s="109">
        <f>IFERROR(__xludf.DUMMYFUNCTION("""COMPUTED_VALUE"""),1619.0)</f>
        <v>1619</v>
      </c>
      <c r="E603" s="109">
        <f>IFERROR(__xludf.DUMMYFUNCTION("""COMPUTED_VALUE"""),461.0)</f>
        <v>461</v>
      </c>
      <c r="F603" s="109" t="str">
        <f>IFERROR(__xludf.DUMMYFUNCTION("""COMPUTED_VALUE"""),"Mythril Ore")</f>
        <v>Mythril Ore</v>
      </c>
      <c r="G603" s="109" t="str">
        <f>IFERROR(__xludf.DUMMYFUNCTION("""COMPUTED_VALUE"""),"Cavalier Cleaver")</f>
        <v>Cavalier Cleaver</v>
      </c>
      <c r="H603" s="109" t="str">
        <f>IFERROR(__xludf.DUMMYFUNCTION("""COMPUTED_VALUE"""),"The Eerie Eyrie")</f>
        <v>The Eerie Eyrie</v>
      </c>
    </row>
    <row r="604">
      <c r="A604" s="92"/>
      <c r="B604" s="110" t="str">
        <f>IFERROR(__xludf.DUMMYFUNCTION("""COMPUTED_VALUE"""),"Malicious Bongo Bango")</f>
        <v>Malicious Bongo Bango</v>
      </c>
      <c r="C604" s="111" t="str">
        <f>IFERROR(__xludf.DUMMYFUNCTION("""COMPUTED_VALUE"""),"Material")</f>
        <v>Material</v>
      </c>
      <c r="D604" s="111">
        <f>IFERROR(__xludf.DUMMYFUNCTION("""COMPUTED_VALUE"""),1655.0)</f>
        <v>1655</v>
      </c>
      <c r="E604" s="111">
        <f>IFERROR(__xludf.DUMMYFUNCTION("""COMPUTED_VALUE"""),420.0)</f>
        <v>420</v>
      </c>
      <c r="F604" s="111" t="str">
        <f>IFERROR(__xludf.DUMMYFUNCTION("""COMPUTED_VALUE"""),"Wyrmwood")</f>
        <v>Wyrmwood</v>
      </c>
      <c r="G604" s="111" t="str">
        <f>IFERROR(__xludf.DUMMYFUNCTION("""COMPUTED_VALUE"""),"Red Wood")</f>
        <v>Red Wood</v>
      </c>
      <c r="H604" s="111" t="str">
        <f>IFERROR(__xludf.DUMMYFUNCTION("""COMPUTED_VALUE"""),"The Champs Sauvage")</f>
        <v>The Champs Sauvage</v>
      </c>
    </row>
    <row r="605">
      <c r="A605" s="95"/>
      <c r="B605" s="108" t="str">
        <f>IFERROR(__xludf.DUMMYFUNCTION("""COMPUTED_VALUE"""),"Malicious Magic Marionette")</f>
        <v>Malicious Magic Marionette</v>
      </c>
      <c r="C605" s="109" t="str">
        <f>IFERROR(__xludf.DUMMYFUNCTION("""COMPUTED_VALUE"""),"Material")</f>
        <v>Material</v>
      </c>
      <c r="D605" s="109">
        <f>IFERROR(__xludf.DUMMYFUNCTION("""COMPUTED_VALUE"""),1429.0)</f>
        <v>1429</v>
      </c>
      <c r="E605" s="109">
        <f>IFERROR(__xludf.DUMMYFUNCTION("""COMPUTED_VALUE"""),379.0)</f>
        <v>379</v>
      </c>
      <c r="F605" s="109" t="str">
        <f>IFERROR(__xludf.DUMMYFUNCTION("""COMPUTED_VALUE"""),"Narspicious")</f>
        <v>Narspicious</v>
      </c>
      <c r="G605" s="109" t="str">
        <f>IFERROR(__xludf.DUMMYFUNCTION("""COMPUTED_VALUE"""),"Spellbound Bough")</f>
        <v>Spellbound Bough</v>
      </c>
      <c r="H605" s="109" t="str">
        <f>IFERROR(__xludf.DUMMYFUNCTION("""COMPUTED_VALUE"""),"The Other Side")</f>
        <v>The Other Side</v>
      </c>
    </row>
    <row r="606">
      <c r="A606" s="92"/>
      <c r="B606" s="110" t="str">
        <f>IFERROR(__xludf.DUMMYFUNCTION("""COMPUTED_VALUE"""),"Malicious Caped Caperer")</f>
        <v>Malicious Caped Caperer</v>
      </c>
      <c r="C606" s="111" t="str">
        <f>IFERROR(__xludf.DUMMYFUNCTION("""COMPUTED_VALUE"""),"Demon")</f>
        <v>Demon</v>
      </c>
      <c r="D606" s="111">
        <f>IFERROR(__xludf.DUMMYFUNCTION("""COMPUTED_VALUE"""),1181.0)</f>
        <v>1181</v>
      </c>
      <c r="E606" s="111">
        <f>IFERROR(__xludf.DUMMYFUNCTION("""COMPUTED_VALUE"""),279.0)</f>
        <v>279</v>
      </c>
      <c r="F606" s="111" t="str">
        <f>IFERROR(__xludf.DUMMYFUNCTION("""COMPUTED_VALUE"""),"Extra Mural")</f>
        <v>Extra Mural</v>
      </c>
      <c r="G606" s="111" t="str">
        <f>IFERROR(__xludf.DUMMYFUNCTION("""COMPUTED_VALUE"""),"Devil's Tail")</f>
        <v>Devil's Tail</v>
      </c>
      <c r="H606" s="111" t="str">
        <f>IFERROR(__xludf.DUMMYFUNCTION("""COMPUTED_VALUE"""),"The Other Side")</f>
        <v>The Other Side</v>
      </c>
    </row>
    <row r="607">
      <c r="A607" s="95"/>
      <c r="B607" s="108" t="str">
        <f>IFERROR(__xludf.DUMMYFUNCTION("""COMPUTED_VALUE"""),"Mega Mimic")</f>
        <v>Mega Mimic</v>
      </c>
      <c r="C607" s="109" t="str">
        <f>IFERROR(__xludf.DUMMYFUNCTION("""COMPUTED_VALUE"""),"Material")</f>
        <v>Material</v>
      </c>
      <c r="D607" s="109">
        <f>IFERROR(__xludf.DUMMYFUNCTION("""COMPUTED_VALUE"""),4848.0)</f>
        <v>4848</v>
      </c>
      <c r="E607" s="109">
        <f>IFERROR(__xludf.DUMMYFUNCTION("""COMPUTED_VALUE"""),1224.0)</f>
        <v>1224</v>
      </c>
      <c r="F607" s="109" t="str">
        <f>IFERROR(__xludf.DUMMYFUNCTION("""COMPUTED_VALUE"""),"Mini Medal")</f>
        <v>Mini Medal</v>
      </c>
      <c r="G607" s="109" t="str">
        <f>IFERROR(__xludf.DUMMYFUNCTION("""COMPUTED_VALUE"""),"Gold Bar")</f>
        <v>Gold Bar</v>
      </c>
      <c r="H607" s="108" t="str">
        <f>IFERROR(__xludf.DUMMYFUNCTION("""COMPUTED_VALUE"""),"The Other Side: 2nd Area, big chest near exit to Phnom Nonh")</f>
        <v>The Other Side: 2nd Area, big chest near exit to Phnom Nonh</v>
      </c>
    </row>
    <row r="608">
      <c r="A608" s="98"/>
      <c r="B608" s="110" t="str">
        <f>IFERROR(__xludf.DUMMYFUNCTION("""COMPUTED_VALUE"""),"Malicious Grey Gordon")</f>
        <v>Malicious Grey Gordon</v>
      </c>
      <c r="C608" s="111" t="str">
        <f>IFERROR(__xludf.DUMMYFUNCTION("""COMPUTED_VALUE"""),"Humanoid")</f>
        <v>Humanoid</v>
      </c>
      <c r="D608" s="111">
        <f>IFERROR(__xludf.DUMMYFUNCTION("""COMPUTED_VALUE"""),40000.0)</f>
        <v>40000</v>
      </c>
      <c r="E608" s="111">
        <f>IFERROR(__xludf.DUMMYFUNCTION("""COMPUTED_VALUE"""),18000.0)</f>
        <v>18000</v>
      </c>
      <c r="F608" s="111" t="str">
        <f>IFERROR(__xludf.DUMMYFUNCTION("""COMPUTED_VALUE"""),"Kaleidocloth")</f>
        <v>Kaleidocloth</v>
      </c>
      <c r="G608" s="111" t="str">
        <f>IFERROR(__xludf.DUMMYFUNCTION("""COMPUTED_VALUE"""),"--")</f>
        <v>--</v>
      </c>
      <c r="H608" s="111" t="str">
        <f>IFERROR(__xludf.DUMMYFUNCTION("""COMPUTED_VALUE"""),"--")</f>
        <v>--</v>
      </c>
    </row>
    <row r="609">
      <c r="A609" s="107" t="str">
        <f>IFERROR(__xludf.DUMMYFUNCTION("""COMPUTED_VALUE"""),"P31")</f>
        <v>P31</v>
      </c>
      <c r="B609" s="108" t="str">
        <f>IFERROR(__xludf.DUMMYFUNCTION("""COMPUTED_VALUE"""),"Godsteed")</f>
        <v>Godsteed</v>
      </c>
      <c r="C609" s="109" t="str">
        <f>IFERROR(__xludf.DUMMYFUNCTION("""COMPUTED_VALUE"""),"Beast")</f>
        <v>Beast</v>
      </c>
      <c r="D609" s="109">
        <f>IFERROR(__xludf.DUMMYFUNCTION("""COMPUTED_VALUE"""),2038.0)</f>
        <v>2038</v>
      </c>
      <c r="E609" s="109">
        <f>IFERROR(__xludf.DUMMYFUNCTION("""COMPUTED_VALUE"""),363.0)</f>
        <v>363</v>
      </c>
      <c r="F609" s="109" t="str">
        <f>IFERROR(__xludf.DUMMYFUNCTION("""COMPUTED_VALUE"""),"Horse Manure")</f>
        <v>Horse Manure</v>
      </c>
      <c r="G609" s="109" t="str">
        <f>IFERROR(__xludf.DUMMYFUNCTION("""COMPUTED_VALUE"""),"Meteorite Bracer")</f>
        <v>Meteorite Bracer</v>
      </c>
      <c r="H609" s="109" t="str">
        <f>IFERROR(__xludf.DUMMYFUNCTION("""COMPUTED_VALUE"""),"Sage's Trial - Fierce Forest")</f>
        <v>Sage's Trial - Fierce Forest</v>
      </c>
    </row>
    <row r="610">
      <c r="A610" s="92"/>
      <c r="B610" s="110" t="str">
        <f>IFERROR(__xludf.DUMMYFUNCTION("""COMPUTED_VALUE"""),"Infernal Serpent")</f>
        <v>Infernal Serpent</v>
      </c>
      <c r="C610" s="111" t="str">
        <f>IFERROR(__xludf.DUMMYFUNCTION("""COMPUTED_VALUE"""),"Dragon")</f>
        <v>Dragon</v>
      </c>
      <c r="D610" s="111">
        <f>IFERROR(__xludf.DUMMYFUNCTION("""COMPUTED_VALUE"""),4461.0)</f>
        <v>4461</v>
      </c>
      <c r="E610" s="111">
        <f>IFERROR(__xludf.DUMMYFUNCTION("""COMPUTED_VALUE"""),626.0)</f>
        <v>626</v>
      </c>
      <c r="F610" s="111" t="str">
        <f>IFERROR(__xludf.DUMMYFUNCTION("""COMPUTED_VALUE"""),"Red Wood")</f>
        <v>Red Wood</v>
      </c>
      <c r="G610" s="111" t="str">
        <f>IFERROR(__xludf.DUMMYFUNCTION("""COMPUTED_VALUE"""),"Flame Tang")</f>
        <v>Flame Tang</v>
      </c>
      <c r="H610" s="111" t="str">
        <f>IFERROR(__xludf.DUMMYFUNCTION("""COMPUTED_VALUE"""),"Sage's Trial - Fierce Forest")</f>
        <v>Sage's Trial - Fierce Forest</v>
      </c>
    </row>
    <row r="611">
      <c r="A611" s="95"/>
      <c r="B611" s="108" t="str">
        <f>IFERROR(__xludf.DUMMYFUNCTION("""COMPUTED_VALUE"""),"Vicious Bomboulder")</f>
        <v>Vicious Bomboulder</v>
      </c>
      <c r="C611" s="109" t="str">
        <f>IFERROR(__xludf.DUMMYFUNCTION("""COMPUTED_VALUE"""),"Material")</f>
        <v>Material</v>
      </c>
      <c r="D611" s="109">
        <f>IFERROR(__xludf.DUMMYFUNCTION("""COMPUTED_VALUE"""),1506.0)</f>
        <v>1506</v>
      </c>
      <c r="E611" s="109">
        <f>IFERROR(__xludf.DUMMYFUNCTION("""COMPUTED_VALUE"""),334.0)</f>
        <v>334</v>
      </c>
      <c r="F611" s="109" t="str">
        <f>IFERROR(__xludf.DUMMYFUNCTION("""COMPUTED_VALUE"""),"Dieamend")</f>
        <v>Dieamend</v>
      </c>
      <c r="G611" s="109" t="str">
        <f>IFERROR(__xludf.DUMMYFUNCTION("""COMPUTED_VALUE"""),"Yggdrasil Dew")</f>
        <v>Yggdrasil Dew</v>
      </c>
      <c r="H611" s="109" t="str">
        <f>IFERROR(__xludf.DUMMYFUNCTION("""COMPUTED_VALUE"""),"Sage's Trial - Fierce Forest (Day)")</f>
        <v>Sage's Trial - Fierce Forest (Day)</v>
      </c>
    </row>
    <row r="612">
      <c r="A612" s="92"/>
      <c r="B612" s="110" t="str">
        <f>IFERROR(__xludf.DUMMYFUNCTION("""COMPUTED_VALUE"""),"Vicious Scourgette")</f>
        <v>Vicious Scourgette</v>
      </c>
      <c r="C612" s="111" t="str">
        <f>IFERROR(__xludf.DUMMYFUNCTION("""COMPUTED_VALUE"""),"Nature")</f>
        <v>Nature</v>
      </c>
      <c r="D612" s="111">
        <f>IFERROR(__xludf.DUMMYFUNCTION("""COMPUTED_VALUE"""),1544.0)</f>
        <v>1544</v>
      </c>
      <c r="E612" s="111">
        <f>IFERROR(__xludf.DUMMYFUNCTION("""COMPUTED_VALUE"""),312.0)</f>
        <v>312</v>
      </c>
      <c r="F612" s="111" t="str">
        <f>IFERROR(__xludf.DUMMYFUNCTION("""COMPUTED_VALUE"""),"Narspicious")</f>
        <v>Narspicious</v>
      </c>
      <c r="G612" s="111" t="str">
        <f>IFERROR(__xludf.DUMMYFUNCTION("""COMPUTED_VALUE"""),"Storm Spear")</f>
        <v>Storm Spear</v>
      </c>
      <c r="H612" s="111" t="str">
        <f>IFERROR(__xludf.DUMMYFUNCTION("""COMPUTED_VALUE"""),"Sage's Trial - Fierce Forest (Night)")</f>
        <v>Sage's Trial - Fierce Forest (Night)</v>
      </c>
    </row>
    <row r="613">
      <c r="A613" s="95"/>
      <c r="B613" s="108" t="str">
        <f>IFERROR(__xludf.DUMMYFUNCTION("""COMPUTED_VALUE"""),"Vicious Prowler Jowler")</f>
        <v>Vicious Prowler Jowler</v>
      </c>
      <c r="C613" s="109" t="str">
        <f>IFERROR(__xludf.DUMMYFUNCTION("""COMPUTED_VALUE"""),"Beast")</f>
        <v>Beast</v>
      </c>
      <c r="D613" s="109">
        <f>IFERROR(__xludf.DUMMYFUNCTION("""COMPUTED_VALUE"""),1635.0)</f>
        <v>1635</v>
      </c>
      <c r="E613" s="109">
        <f>IFERROR(__xludf.DUMMYFUNCTION("""COMPUTED_VALUE"""),519.0)</f>
        <v>519</v>
      </c>
      <c r="F613" s="109" t="str">
        <f>IFERROR(__xludf.DUMMYFUNCTION("""COMPUTED_VALUE"""),"Magic Beast Horn")</f>
        <v>Magic Beast Horn</v>
      </c>
      <c r="G613" s="109" t="str">
        <f>IFERROR(__xludf.DUMMYFUNCTION("""COMPUTED_VALUE"""),"Seed of Agility")</f>
        <v>Seed of Agility</v>
      </c>
      <c r="H613" s="109" t="str">
        <f>IFERROR(__xludf.DUMMYFUNCTION("""COMPUTED_VALUE"""),"Sage's Trial - Fierce Forest (Night)")</f>
        <v>Sage's Trial - Fierce Forest (Night)</v>
      </c>
    </row>
    <row r="614">
      <c r="A614" s="92"/>
      <c r="B614" s="110" t="str">
        <f>IFERROR(__xludf.DUMMYFUNCTION("""COMPUTED_VALUE"""),"Vicious Old Man of the Sea")</f>
        <v>Vicious Old Man of the Sea</v>
      </c>
      <c r="C614" s="111" t="str">
        <f>IFERROR(__xludf.DUMMYFUNCTION("""COMPUTED_VALUE"""),"Humanoid")</f>
        <v>Humanoid</v>
      </c>
      <c r="D614" s="111">
        <f>IFERROR(__xludf.DUMMYFUNCTION("""COMPUTED_VALUE"""),1429.0)</f>
        <v>1429</v>
      </c>
      <c r="E614" s="111">
        <f>IFERROR(__xludf.DUMMYFUNCTION("""COMPUTED_VALUE"""),319.0)</f>
        <v>319</v>
      </c>
      <c r="F614" s="111" t="str">
        <f>IFERROR(__xludf.DUMMYFUNCTION("""COMPUTED_VALUE"""),"Thunderball")</f>
        <v>Thunderball</v>
      </c>
      <c r="G614" s="111" t="str">
        <f>IFERROR(__xludf.DUMMYFUNCTION("""COMPUTED_VALUE"""),"Fizzle-Retardant Suit")</f>
        <v>Fizzle-Retardant Suit</v>
      </c>
      <c r="H614" s="111" t="str">
        <f>IFERROR(__xludf.DUMMYFUNCTION("""COMPUTED_VALUE"""),"Sage's Trial - Fierce Forest (Night)")</f>
        <v>Sage's Trial - Fierce Forest (Night)</v>
      </c>
    </row>
    <row r="615">
      <c r="A615" s="95"/>
      <c r="B615" s="108" t="str">
        <f>IFERROR(__xludf.DUMMYFUNCTION("""COMPUTED_VALUE"""),"Viicious Ursa Major")</f>
        <v>Viicious Ursa Major</v>
      </c>
      <c r="C615" s="109" t="str">
        <f>IFERROR(__xludf.DUMMYFUNCTION("""COMPUTED_VALUE"""),"Beast")</f>
        <v>Beast</v>
      </c>
      <c r="D615" s="109">
        <f>IFERROR(__xludf.DUMMYFUNCTION("""COMPUTED_VALUE"""),4252.0)</f>
        <v>4252</v>
      </c>
      <c r="E615" s="109">
        <f>IFERROR(__xludf.DUMMYFUNCTION("""COMPUTED_VALUE"""),415.0)</f>
        <v>415</v>
      </c>
      <c r="F615" s="109" t="str">
        <f>IFERROR(__xludf.DUMMYFUNCTION("""COMPUTED_VALUE"""),"Magic Beast Hide")</f>
        <v>Magic Beast Hide</v>
      </c>
      <c r="G615" s="109" t="str">
        <f>IFERROR(__xludf.DUMMYFUNCTION("""COMPUTED_VALUE"""),"Tough Guy Tattoo")</f>
        <v>Tough Guy Tattoo</v>
      </c>
      <c r="H615" s="109" t="str">
        <f>IFERROR(__xludf.DUMMYFUNCTION("""COMPUTED_VALUE"""),"Sage's Trial - Fierce Forest (Night)")</f>
        <v>Sage's Trial - Fierce Forest (Night)</v>
      </c>
    </row>
    <row r="616">
      <c r="A616" s="92"/>
      <c r="B616" s="110" t="str">
        <f>IFERROR(__xludf.DUMMYFUNCTION("""COMPUTED_VALUE"""),"Vicious Rantingen Raven")</f>
        <v>Vicious Rantingen Raven</v>
      </c>
      <c r="C616" s="111" t="str">
        <f>IFERROR(__xludf.DUMMYFUNCTION("""COMPUTED_VALUE"""),"Bird")</f>
        <v>Bird</v>
      </c>
      <c r="D616" s="111">
        <f>IFERROR(__xludf.DUMMYFUNCTION("""COMPUTED_VALUE"""),1373.0)</f>
        <v>1373</v>
      </c>
      <c r="E616" s="111">
        <f>IFERROR(__xludf.DUMMYFUNCTION("""COMPUTED_VALUE"""),348.0)</f>
        <v>348</v>
      </c>
      <c r="F616" s="111" t="str">
        <f>IFERROR(__xludf.DUMMYFUNCTION("""COMPUTED_VALUE"""),"Dragon Horn")</f>
        <v>Dragon Horn</v>
      </c>
      <c r="G616" s="111" t="str">
        <f>IFERROR(__xludf.DUMMYFUNCTION("""COMPUTED_VALUE"""),"Serpent Bone")</f>
        <v>Serpent Bone</v>
      </c>
      <c r="H616" s="111" t="str">
        <f>IFERROR(__xludf.DUMMYFUNCTION("""COMPUTED_VALUE"""),"Sage's Trial - Fierce Forest (Night)")</f>
        <v>Sage's Trial - Fierce Forest (Night)</v>
      </c>
    </row>
    <row r="617">
      <c r="A617" s="95"/>
      <c r="B617" s="108" t="str">
        <f>IFERROR(__xludf.DUMMYFUNCTION("""COMPUTED_VALUE"""),"Vicious Kisser")</f>
        <v>Vicious Kisser</v>
      </c>
      <c r="C617" s="109" t="str">
        <f>IFERROR(__xludf.DUMMYFUNCTION("""COMPUTED_VALUE"""),"Nature")</f>
        <v>Nature</v>
      </c>
      <c r="D617" s="109">
        <f>IFERROR(__xludf.DUMMYFUNCTION("""COMPUTED_VALUE"""),1311.0)</f>
        <v>1311</v>
      </c>
      <c r="E617" s="109">
        <f>IFERROR(__xludf.DUMMYFUNCTION("""COMPUTED_VALUE"""),303.0)</f>
        <v>303</v>
      </c>
      <c r="F617" s="109" t="str">
        <f>IFERROR(__xludf.DUMMYFUNCTION("""COMPUTED_VALUE"""),"Narspicious")</f>
        <v>Narspicious</v>
      </c>
      <c r="G617" s="109" t="str">
        <f>IFERROR(__xludf.DUMMYFUNCTION("""COMPUTED_VALUE"""),"Pretty Betsy")</f>
        <v>Pretty Betsy</v>
      </c>
      <c r="H617" s="109" t="str">
        <f>IFERROR(__xludf.DUMMYFUNCTION("""COMPUTED_VALUE"""),"Sage's Trial - Fierce Forest (Night)")</f>
        <v>Sage's Trial - Fierce Forest (Night)</v>
      </c>
    </row>
    <row r="618">
      <c r="A618" s="92"/>
      <c r="B618" s="110" t="str">
        <f>IFERROR(__xludf.DUMMYFUNCTION("""COMPUTED_VALUE"""),"Vicious Hardy Hand")</f>
        <v>Vicious Hardy Hand</v>
      </c>
      <c r="C618" s="111" t="str">
        <f>IFERROR(__xludf.DUMMYFUNCTION("""COMPUTED_VALUE"""),"Undead")</f>
        <v>Undead</v>
      </c>
      <c r="D618" s="111">
        <f>IFERROR(__xludf.DUMMYFUNCTION("""COMPUTED_VALUE"""),91020.0)</f>
        <v>91020</v>
      </c>
      <c r="E618" s="111">
        <f>IFERROR(__xludf.DUMMYFUNCTION("""COMPUTED_VALUE"""),500.0)</f>
        <v>500</v>
      </c>
      <c r="F618" s="111" t="str">
        <f>IFERROR(__xludf.DUMMYFUNCTION("""COMPUTED_VALUE"""),"Mini Medal")</f>
        <v>Mini Medal</v>
      </c>
      <c r="G618" s="111" t="str">
        <f>IFERROR(__xludf.DUMMYFUNCTION("""COMPUTED_VALUE"""),"Molten Globules")</f>
        <v>Molten Globules</v>
      </c>
      <c r="H618" s="111" t="str">
        <f>IFERROR(__xludf.DUMMYFUNCTION("""COMPUTED_VALUE"""),"Sage's Trial - Fierce Forest")</f>
        <v>Sage's Trial - Fierce Forest</v>
      </c>
    </row>
    <row r="619">
      <c r="A619" s="95"/>
      <c r="B619" s="108" t="str">
        <f>IFERROR(__xludf.DUMMYFUNCTION("""COMPUTED_VALUE"""),"Vicious Metal Dragon")</f>
        <v>Vicious Metal Dragon</v>
      </c>
      <c r="C619" s="109" t="str">
        <f>IFERROR(__xludf.DUMMYFUNCTION("""COMPUTED_VALUE"""),"Machine")</f>
        <v>Machine</v>
      </c>
      <c r="D619" s="109">
        <f>IFERROR(__xludf.DUMMYFUNCTION("""COMPUTED_VALUE"""),2460.0)</f>
        <v>2460</v>
      </c>
      <c r="E619" s="109">
        <f>IFERROR(__xludf.DUMMYFUNCTION("""COMPUTED_VALUE"""),615.0)</f>
        <v>615</v>
      </c>
      <c r="F619" s="109" t="str">
        <f>IFERROR(__xludf.DUMMYFUNCTION("""COMPUTED_VALUE"""),"Molten Globules")</f>
        <v>Molten Globules</v>
      </c>
      <c r="G619" s="109" t="str">
        <f>IFERROR(__xludf.DUMMYFUNCTION("""COMPUTED_VALUE"""),"Metal King Armour")</f>
        <v>Metal King Armour</v>
      </c>
      <c r="H619" s="109" t="str">
        <f>IFERROR(__xludf.DUMMYFUNCTION("""COMPUTED_VALUE"""),"Sage's Trial - Hoarder's Keep")</f>
        <v>Sage's Trial - Hoarder's Keep</v>
      </c>
    </row>
    <row r="620">
      <c r="A620" s="92"/>
      <c r="B620" s="110" t="str">
        <f>IFERROR(__xludf.DUMMYFUNCTION("""COMPUTED_VALUE"""),"Mechan-O'-Wyrm")</f>
        <v>Mechan-O'-Wyrm</v>
      </c>
      <c r="C620" s="111" t="str">
        <f>IFERROR(__xludf.DUMMYFUNCTION("""COMPUTED_VALUE"""),"Machine")</f>
        <v>Machine</v>
      </c>
      <c r="D620" s="111">
        <f>IFERROR(__xludf.DUMMYFUNCTION("""COMPUTED_VALUE"""),3315.0)</f>
        <v>3315</v>
      </c>
      <c r="E620" s="111">
        <f>IFERROR(__xludf.DUMMYFUNCTION("""COMPUTED_VALUE"""),730.0)</f>
        <v>730</v>
      </c>
      <c r="F620" s="111" t="str">
        <f>IFERROR(__xludf.DUMMYFUNCTION("""COMPUTED_VALUE"""),"Gold Nuglet")</f>
        <v>Gold Nuglet</v>
      </c>
      <c r="G620" s="111" t="str">
        <f>IFERROR(__xludf.DUMMYFUNCTION("""COMPUTED_VALUE"""),"Orichalcum Claws")</f>
        <v>Orichalcum Claws</v>
      </c>
      <c r="H620" s="111" t="str">
        <f>IFERROR(__xludf.DUMMYFUNCTION("""COMPUTED_VALUE"""),"Sage's Trial - Hoarder's Keep, Luminary's Trial")</f>
        <v>Sage's Trial - Hoarder's Keep, Luminary's Trial</v>
      </c>
    </row>
    <row r="621">
      <c r="A621" s="95"/>
      <c r="B621" s="108" t="str">
        <f>IFERROR(__xludf.DUMMYFUNCTION("""COMPUTED_VALUE"""),"Golden Goliath")</f>
        <v>Golden Goliath</v>
      </c>
      <c r="C621" s="109" t="str">
        <f>IFERROR(__xludf.DUMMYFUNCTION("""COMPUTED_VALUE"""),"Demon")</f>
        <v>Demon</v>
      </c>
      <c r="D621" s="109">
        <f>IFERROR(__xludf.DUMMYFUNCTION("""COMPUTED_VALUE"""),4558.0)</f>
        <v>4558</v>
      </c>
      <c r="E621" s="109">
        <f>IFERROR(__xludf.DUMMYFUNCTION("""COMPUTED_VALUE"""),750.0)</f>
        <v>750</v>
      </c>
      <c r="F621" s="109" t="str">
        <f>IFERROR(__xludf.DUMMYFUNCTION("""COMPUTED_VALUE"""),"Gold Bar")</f>
        <v>Gold Bar</v>
      </c>
      <c r="G621" s="109" t="str">
        <f>IFERROR(__xludf.DUMMYFUNCTION("""COMPUTED_VALUE"""),"Thunderstorm Skean")</f>
        <v>Thunderstorm Skean</v>
      </c>
      <c r="H621" s="109" t="str">
        <f>IFERROR(__xludf.DUMMYFUNCTION("""COMPUTED_VALUE"""),"Sage's Trial - Hoarder's Keep")</f>
        <v>Sage's Trial - Hoarder's Keep</v>
      </c>
    </row>
    <row r="622">
      <c r="A622" s="92"/>
      <c r="B622" s="110" t="str">
        <f>IFERROR(__xludf.DUMMYFUNCTION("""COMPUTED_VALUE"""),"Vicious Infernal Armour")</f>
        <v>Vicious Infernal Armour</v>
      </c>
      <c r="C622" s="111" t="str">
        <f>IFERROR(__xludf.DUMMYFUNCTION("""COMPUTED_VALUE"""),"Material")</f>
        <v>Material</v>
      </c>
      <c r="D622" s="111">
        <f>IFERROR(__xludf.DUMMYFUNCTION("""COMPUTED_VALUE"""),1538.0)</f>
        <v>1538</v>
      </c>
      <c r="E622" s="111">
        <f>IFERROR(__xludf.DUMMYFUNCTION("""COMPUTED_VALUE"""),420.0)</f>
        <v>420</v>
      </c>
      <c r="F622" s="111" t="str">
        <f>IFERROR(__xludf.DUMMYFUNCTION("""COMPUTED_VALUE"""),"Cautery Sword")</f>
        <v>Cautery Sword</v>
      </c>
      <c r="G622" s="111" t="str">
        <f>IFERROR(__xludf.DUMMYFUNCTION("""COMPUTED_VALUE"""),"Silver Mail")</f>
        <v>Silver Mail</v>
      </c>
      <c r="H622" s="111" t="str">
        <f>IFERROR(__xludf.DUMMYFUNCTION("""COMPUTED_VALUE"""),"Sage's Trial - Hoarder's Keep (Day)")</f>
        <v>Sage's Trial - Hoarder's Keep (Day)</v>
      </c>
    </row>
    <row r="623">
      <c r="A623" s="95"/>
      <c r="B623" s="108" t="str">
        <f>IFERROR(__xludf.DUMMYFUNCTION("""COMPUTED_VALUE"""),"Vicious Ghoul")</f>
        <v>Vicious Ghoul</v>
      </c>
      <c r="C623" s="109" t="str">
        <f>IFERROR(__xludf.DUMMYFUNCTION("""COMPUTED_VALUE"""),"Undead")</f>
        <v>Undead</v>
      </c>
      <c r="D623" s="109">
        <f>IFERROR(__xludf.DUMMYFUNCTION("""COMPUTED_VALUE"""),1538.0)</f>
        <v>1538</v>
      </c>
      <c r="E623" s="109">
        <f>IFERROR(__xludf.DUMMYFUNCTION("""COMPUTED_VALUE"""),380.0)</f>
        <v>380</v>
      </c>
      <c r="F623" s="109" t="str">
        <f>IFERROR(__xludf.DUMMYFUNCTION("""COMPUTED_VALUE"""),"Drasilian Guinea")</f>
        <v>Drasilian Guinea</v>
      </c>
      <c r="G623" s="109" t="str">
        <f>IFERROR(__xludf.DUMMYFUNCTION("""COMPUTED_VALUE"""),"Tough Guy Tattoo")</f>
        <v>Tough Guy Tattoo</v>
      </c>
      <c r="H623" s="109" t="str">
        <f>IFERROR(__xludf.DUMMYFUNCTION("""COMPUTED_VALUE"""),"Sage's Trial - Hoarder's Keep (Day)")</f>
        <v>Sage's Trial - Hoarder's Keep (Day)</v>
      </c>
    </row>
    <row r="624">
      <c r="A624" s="92"/>
      <c r="B624" s="110" t="str">
        <f>IFERROR(__xludf.DUMMYFUNCTION("""COMPUTED_VALUE"""),"Vicious Lurid Lumpling")</f>
        <v>Vicious Lurid Lumpling</v>
      </c>
      <c r="C624" s="111" t="str">
        <f>IFERROR(__xludf.DUMMYFUNCTION("""COMPUTED_VALUE"""),"Material")</f>
        <v>Material</v>
      </c>
      <c r="D624" s="111">
        <f>IFERROR(__xludf.DUMMYFUNCTION("""COMPUTED_VALUE"""),1388.0)</f>
        <v>1388</v>
      </c>
      <c r="E624" s="111">
        <f>IFERROR(__xludf.DUMMYFUNCTION("""COMPUTED_VALUE"""),381.0)</f>
        <v>381</v>
      </c>
      <c r="F624" s="111" t="str">
        <f>IFERROR(__xludf.DUMMYFUNCTION("""COMPUTED_VALUE"""),"Lamplight")</f>
        <v>Lamplight</v>
      </c>
      <c r="G624" s="111" t="str">
        <f>IFERROR(__xludf.DUMMYFUNCTION("""COMPUTED_VALUE"""),"Sunny Citrine")</f>
        <v>Sunny Citrine</v>
      </c>
      <c r="H624" s="111" t="str">
        <f>IFERROR(__xludf.DUMMYFUNCTION("""COMPUTED_VALUE"""),"Sage's Trial - Hoarder's Keep (Day)")</f>
        <v>Sage's Trial - Hoarder's Keep (Day)</v>
      </c>
    </row>
    <row r="625">
      <c r="A625" s="95"/>
      <c r="B625" s="108" t="str">
        <f>IFERROR(__xludf.DUMMYFUNCTION("""COMPUTED_VALUE"""),"Vicious Gold-Plated Puppet")</f>
        <v>Vicious Gold-Plated Puppet</v>
      </c>
      <c r="C625" s="109" t="str">
        <f>IFERROR(__xludf.DUMMYFUNCTION("""COMPUTED_VALUE"""),"Material")</f>
        <v>Material</v>
      </c>
      <c r="D625" s="109">
        <f>IFERROR(__xludf.DUMMYFUNCTION("""COMPUTED_VALUE"""),1331.0)</f>
        <v>1331</v>
      </c>
      <c r="E625" s="109">
        <f>IFERROR(__xludf.DUMMYFUNCTION("""COMPUTED_VALUE"""),520.0)</f>
        <v>520</v>
      </c>
      <c r="F625" s="109" t="str">
        <f>IFERROR(__xludf.DUMMYFUNCTION("""COMPUTED_VALUE"""),"Mini Medal")</f>
        <v>Mini Medal</v>
      </c>
      <c r="G625" s="109" t="str">
        <f>IFERROR(__xludf.DUMMYFUNCTION("""COMPUTED_VALUE"""),"Drasilian Sovereign")</f>
        <v>Drasilian Sovereign</v>
      </c>
      <c r="H625" s="109" t="str">
        <f>IFERROR(__xludf.DUMMYFUNCTION("""COMPUTED_VALUE"""),"Sage's Trial - Hoarder's Keep (Day)")</f>
        <v>Sage's Trial - Hoarder's Keep (Day)</v>
      </c>
    </row>
    <row r="626">
      <c r="A626" s="92"/>
      <c r="B626" s="110" t="str">
        <f>IFERROR(__xludf.DUMMYFUNCTION("""COMPUTED_VALUE"""),"Vicious Lump Shaman")</f>
        <v>Vicious Lump Shaman</v>
      </c>
      <c r="C626" s="111" t="str">
        <f>IFERROR(__xludf.DUMMYFUNCTION("""COMPUTED_VALUE"""),"Humanoid")</f>
        <v>Humanoid</v>
      </c>
      <c r="D626" s="111">
        <f>IFERROR(__xludf.DUMMYFUNCTION("""COMPUTED_VALUE"""),1525.0)</f>
        <v>1525</v>
      </c>
      <c r="E626" s="111">
        <f>IFERROR(__xludf.DUMMYFUNCTION("""COMPUTED_VALUE"""),386.0)</f>
        <v>386</v>
      </c>
      <c r="F626" s="111" t="str">
        <f>IFERROR(__xludf.DUMMYFUNCTION("""COMPUTED_VALUE"""),"Thinkincense")</f>
        <v>Thinkincense</v>
      </c>
      <c r="G626" s="111" t="str">
        <f>IFERROR(__xludf.DUMMYFUNCTION("""COMPUTED_VALUE"""),"Seed of Therapeusis")</f>
        <v>Seed of Therapeusis</v>
      </c>
      <c r="H626" s="111" t="str">
        <f>IFERROR(__xludf.DUMMYFUNCTION("""COMPUTED_VALUE"""),"Sage's Trial - Hoarder's Keep (Day)")</f>
        <v>Sage's Trial - Hoarder's Keep (Day)</v>
      </c>
    </row>
    <row r="627">
      <c r="A627" s="95"/>
      <c r="B627" s="108" t="str">
        <f>IFERROR(__xludf.DUMMYFUNCTION("""COMPUTED_VALUE"""),"Vicious Gyldenbritches")</f>
        <v>Vicious Gyldenbritches</v>
      </c>
      <c r="C627" s="109" t="str">
        <f>IFERROR(__xludf.DUMMYFUNCTION("""COMPUTED_VALUE"""),"Material")</f>
        <v>Material</v>
      </c>
      <c r="D627" s="109">
        <f>IFERROR(__xludf.DUMMYFUNCTION("""COMPUTED_VALUE"""),1541.0)</f>
        <v>1541</v>
      </c>
      <c r="E627" s="109">
        <f>IFERROR(__xludf.DUMMYFUNCTION("""COMPUTED_VALUE"""),622.0)</f>
        <v>622</v>
      </c>
      <c r="F627" s="109" t="str">
        <f>IFERROR(__xludf.DUMMYFUNCTION("""COMPUTED_VALUE"""),"Gold Nuglet")</f>
        <v>Gold Nuglet</v>
      </c>
      <c r="G627" s="109" t="str">
        <f>IFERROR(__xludf.DUMMYFUNCTION("""COMPUTED_VALUE"""),"Corsair's Cap")</f>
        <v>Corsair's Cap</v>
      </c>
      <c r="H627" s="109" t="str">
        <f>IFERROR(__xludf.DUMMYFUNCTION("""COMPUTED_VALUE"""),"Sage's Trial - Hoarder's Keep (Day)")</f>
        <v>Sage's Trial - Hoarder's Keep (Day)</v>
      </c>
    </row>
    <row r="628">
      <c r="A628" s="98"/>
      <c r="B628" s="110" t="str">
        <f>IFERROR(__xludf.DUMMYFUNCTION("""COMPUTED_VALUE"""),"Vicious Gyldenaut")</f>
        <v>Vicious Gyldenaut</v>
      </c>
      <c r="C628" s="111" t="str">
        <f>IFERROR(__xludf.DUMMYFUNCTION("""COMPUTED_VALUE"""),"Material")</f>
        <v>Material</v>
      </c>
      <c r="D628" s="111">
        <f>IFERROR(__xludf.DUMMYFUNCTION("""COMPUTED_VALUE"""),1680.0)</f>
        <v>1680</v>
      </c>
      <c r="E628" s="111">
        <f>IFERROR(__xludf.DUMMYFUNCTION("""COMPUTED_VALUE"""),420.0)</f>
        <v>420</v>
      </c>
      <c r="F628" s="111" t="str">
        <f>IFERROR(__xludf.DUMMYFUNCTION("""COMPUTED_VALUE"""),"Gold Ore")</f>
        <v>Gold Ore</v>
      </c>
      <c r="G628" s="111" t="str">
        <f>IFERROR(__xludf.DUMMYFUNCTION("""COMPUTED_VALUE"""),"Pirate's Hat")</f>
        <v>Pirate's Hat</v>
      </c>
      <c r="H628" s="111" t="str">
        <f>IFERROR(__xludf.DUMMYFUNCTION("""COMPUTED_VALUE"""),"Sage's Trial - Hoarder's Keep (Day)")</f>
        <v>Sage's Trial - Hoarder's Keep (Day)</v>
      </c>
    </row>
    <row r="629">
      <c r="A629" s="107" t="str">
        <f>IFERROR(__xludf.DUMMYFUNCTION("""COMPUTED_VALUE"""),"P32")</f>
        <v>P32</v>
      </c>
      <c r="B629" s="108" t="str">
        <f>IFERROR(__xludf.DUMMYFUNCTION("""COMPUTED_VALUE"""),"Vicious Skeleton Swordsman")</f>
        <v>Vicious Skeleton Swordsman</v>
      </c>
      <c r="C629" s="109" t="str">
        <f>IFERROR(__xludf.DUMMYFUNCTION("""COMPUTED_VALUE"""),"Undead")</f>
        <v>Undead</v>
      </c>
      <c r="D629" s="109">
        <f>IFERROR(__xludf.DUMMYFUNCTION("""COMPUTED_VALUE"""),2553.0)</f>
        <v>2553</v>
      </c>
      <c r="E629" s="109">
        <f>IFERROR(__xludf.DUMMYFUNCTION("""COMPUTED_VALUE"""),517.0)</f>
        <v>517</v>
      </c>
      <c r="F629" s="109" t="str">
        <f>IFERROR(__xludf.DUMMYFUNCTION("""COMPUTED_VALUE"""),"Big Bone")</f>
        <v>Big Bone</v>
      </c>
      <c r="G629" s="109" t="str">
        <f>IFERROR(__xludf.DUMMYFUNCTION("""COMPUTED_VALUE"""),"Iron Headgear")</f>
        <v>Iron Headgear</v>
      </c>
      <c r="H629" s="109" t="str">
        <f>IFERROR(__xludf.DUMMYFUNCTION("""COMPUTED_VALUE"""),"Sage's Trial - Hoarder's Keep (Night)")</f>
        <v>Sage's Trial - Hoarder's Keep (Night)</v>
      </c>
    </row>
    <row r="630">
      <c r="A630" s="92"/>
      <c r="B630" s="110" t="str">
        <f>IFERROR(__xludf.DUMMYFUNCTION("""COMPUTED_VALUE"""),"Vicious Skelegon")</f>
        <v>Vicious Skelegon</v>
      </c>
      <c r="C630" s="111" t="str">
        <f>IFERROR(__xludf.DUMMYFUNCTION("""COMPUTED_VALUE"""),"Dragon")</f>
        <v>Dragon</v>
      </c>
      <c r="D630" s="111">
        <f>IFERROR(__xludf.DUMMYFUNCTION("""COMPUTED_VALUE"""),1541.0)</f>
        <v>1541</v>
      </c>
      <c r="E630" s="111">
        <f>IFERROR(__xludf.DUMMYFUNCTION("""COMPUTED_VALUE"""),422.0)</f>
        <v>422</v>
      </c>
      <c r="F630" s="111" t="str">
        <f>IFERROR(__xludf.DUMMYFUNCTION("""COMPUTED_VALUE"""),"Dragon Horn")</f>
        <v>Dragon Horn</v>
      </c>
      <c r="G630" s="111" t="str">
        <f>IFERROR(__xludf.DUMMYFUNCTION("""COMPUTED_VALUE"""),"Serpent Bone")</f>
        <v>Serpent Bone</v>
      </c>
      <c r="H630" s="111" t="str">
        <f>IFERROR(__xludf.DUMMYFUNCTION("""COMPUTED_VALUE"""),"Sage's Trial - Hoarder's Keep (Night)")</f>
        <v>Sage's Trial - Hoarder's Keep (Night)</v>
      </c>
    </row>
    <row r="631">
      <c r="A631" s="95"/>
      <c r="B631" s="108" t="str">
        <f>IFERROR(__xludf.DUMMYFUNCTION("""COMPUTED_VALUE"""),"Vicious Ham Shamwitch")</f>
        <v>Vicious Ham Shamwitch</v>
      </c>
      <c r="C631" s="109" t="str">
        <f>IFERROR(__xludf.DUMMYFUNCTION("""COMPUTED_VALUE"""),"Beast")</f>
        <v>Beast</v>
      </c>
      <c r="D631" s="109">
        <f>IFERROR(__xludf.DUMMYFUNCTION("""COMPUTED_VALUE"""),1335.0)</f>
        <v>1335</v>
      </c>
      <c r="E631" s="109">
        <f>IFERROR(__xludf.DUMMYFUNCTION("""COMPUTED_VALUE"""),282.0)</f>
        <v>282</v>
      </c>
      <c r="F631" s="109" t="str">
        <f>IFERROR(__xludf.DUMMYFUNCTION("""COMPUTED_VALUE"""),"Mini Medal")</f>
        <v>Mini Medal</v>
      </c>
      <c r="G631" s="109" t="str">
        <f>IFERROR(__xludf.DUMMYFUNCTION("""COMPUTED_VALUE"""),"Happy Hat")</f>
        <v>Happy Hat</v>
      </c>
      <c r="H631" s="109" t="str">
        <f>IFERROR(__xludf.DUMMYFUNCTION("""COMPUTED_VALUE"""),"Sage's Trial - Hoarder's Keep (Night)")</f>
        <v>Sage's Trial - Hoarder's Keep (Night)</v>
      </c>
    </row>
    <row r="632">
      <c r="A632" s="92"/>
      <c r="B632" s="110" t="str">
        <f>IFERROR(__xludf.DUMMYFUNCTION("""COMPUTED_VALUE"""),"Vicious Whackolyte")</f>
        <v>Vicious Whackolyte</v>
      </c>
      <c r="C632" s="111" t="str">
        <f>IFERROR(__xludf.DUMMYFUNCTION("""COMPUTED_VALUE"""),"Demon")</f>
        <v>Demon</v>
      </c>
      <c r="D632" s="111">
        <f>IFERROR(__xludf.DUMMYFUNCTION("""COMPUTED_VALUE"""),1523.0)</f>
        <v>1523</v>
      </c>
      <c r="E632" s="111">
        <f>IFERROR(__xludf.DUMMYFUNCTION("""COMPUTED_VALUE"""),385.0)</f>
        <v>385</v>
      </c>
      <c r="F632" s="111" t="str">
        <f>IFERROR(__xludf.DUMMYFUNCTION("""COMPUTED_VALUE"""),"Wizard's Staff")</f>
        <v>Wizard's Staff</v>
      </c>
      <c r="G632" s="111" t="str">
        <f>IFERROR(__xludf.DUMMYFUNCTION("""COMPUTED_VALUE"""),"Minister's Mitre")</f>
        <v>Minister's Mitre</v>
      </c>
      <c r="H632" s="111" t="str">
        <f>IFERROR(__xludf.DUMMYFUNCTION("""COMPUTED_VALUE"""),"Sage's Trial - Hoarder's Keep (Night)")</f>
        <v>Sage's Trial - Hoarder's Keep (Night)</v>
      </c>
    </row>
    <row r="633">
      <c r="A633" s="95"/>
      <c r="B633" s="108" t="str">
        <f>IFERROR(__xludf.DUMMYFUNCTION("""COMPUTED_VALUE"""),"Vicious Hyperpyrexion")</f>
        <v>Vicious Hyperpyrexion</v>
      </c>
      <c r="C633" s="109" t="str">
        <f>IFERROR(__xludf.DUMMYFUNCTION("""COMPUTED_VALUE"""),"Demon")</f>
        <v>Demon</v>
      </c>
      <c r="D633" s="109">
        <f>IFERROR(__xludf.DUMMYFUNCTION("""COMPUTED_VALUE"""),2329.0)</f>
        <v>2329</v>
      </c>
      <c r="E633" s="109">
        <f>IFERROR(__xludf.DUMMYFUNCTION("""COMPUTED_VALUE"""),588.0)</f>
        <v>588</v>
      </c>
      <c r="F633" s="109" t="str">
        <f>IFERROR(__xludf.DUMMYFUNCTION("""COMPUTED_VALUE"""),"Twisted Talons")</f>
        <v>Twisted Talons</v>
      </c>
      <c r="G633" s="109" t="str">
        <f>IFERROR(__xludf.DUMMYFUNCTION("""COMPUTED_VALUE"""),"Metal Slime Sword")</f>
        <v>Metal Slime Sword</v>
      </c>
      <c r="H633" s="109" t="str">
        <f>IFERROR(__xludf.DUMMYFUNCTION("""COMPUTED_VALUE"""),"Sage's Trial - Hoarder's Keep (Night)")</f>
        <v>Sage's Trial - Hoarder's Keep (Night)</v>
      </c>
    </row>
    <row r="634">
      <c r="A634" s="92"/>
      <c r="B634" s="110" t="str">
        <f>IFERROR(__xludf.DUMMYFUNCTION("""COMPUTED_VALUE"""),"Vicious Gold Golem")</f>
        <v>Vicious Gold Golem</v>
      </c>
      <c r="C634" s="111" t="str">
        <f>IFERROR(__xludf.DUMMYFUNCTION("""COMPUTED_VALUE"""),"Material")</f>
        <v>Material</v>
      </c>
      <c r="D634" s="111">
        <f>IFERROR(__xludf.DUMMYFUNCTION("""COMPUTED_VALUE"""),2413.0)</f>
        <v>2413</v>
      </c>
      <c r="E634" s="111">
        <f>IFERROR(__xludf.DUMMYFUNCTION("""COMPUTED_VALUE"""),2500.0)</f>
        <v>2500</v>
      </c>
      <c r="F634" s="111" t="str">
        <f>IFERROR(__xludf.DUMMYFUNCTION("""COMPUTED_VALUE"""),"Gold Ore")</f>
        <v>Gold Ore</v>
      </c>
      <c r="G634" s="111" t="str">
        <f>IFERROR(__xludf.DUMMYFUNCTION("""COMPUTED_VALUE"""),"Gold Bar")</f>
        <v>Gold Bar</v>
      </c>
      <c r="H634" s="111" t="str">
        <f>IFERROR(__xludf.DUMMYFUNCTION("""COMPUTED_VALUE"""),"Sage's Trial - Hoarder's Keep (Night)")</f>
        <v>Sage's Trial - Hoarder's Keep (Night)</v>
      </c>
    </row>
    <row r="635">
      <c r="A635" s="95"/>
      <c r="B635" s="108" t="str">
        <f>IFERROR(__xludf.DUMMYFUNCTION("""COMPUTED_VALUE"""),"Vicious Token Taker")</f>
        <v>Vicious Token Taker</v>
      </c>
      <c r="C635" s="109" t="str">
        <f>IFERROR(__xludf.DUMMYFUNCTION("""COMPUTED_VALUE"""),"Machine")</f>
        <v>Machine</v>
      </c>
      <c r="D635" s="109">
        <f>IFERROR(__xludf.DUMMYFUNCTION("""COMPUTED_VALUE"""),4777.0)</f>
        <v>4777</v>
      </c>
      <c r="E635" s="109">
        <f>IFERROR(__xludf.DUMMYFUNCTION("""COMPUTED_VALUE"""),1760.0)</f>
        <v>1760</v>
      </c>
      <c r="F635" s="109" t="str">
        <f>IFERROR(__xludf.DUMMYFUNCTION("""COMPUTED_VALUE"""),"Mini Medal")</f>
        <v>Mini Medal</v>
      </c>
      <c r="G635" s="109" t="str">
        <f>IFERROR(__xludf.DUMMYFUNCTION("""COMPUTED_VALUE"""),"Gold Bar")</f>
        <v>Gold Bar</v>
      </c>
      <c r="H635" s="109" t="str">
        <f>IFERROR(__xludf.DUMMYFUNCTION("""COMPUTED_VALUE"""),"Sage's Trial - Hoarder's Keep")</f>
        <v>Sage's Trial - Hoarder's Keep</v>
      </c>
    </row>
    <row r="636">
      <c r="A636" s="92"/>
      <c r="B636" s="110" t="str">
        <f>IFERROR(__xludf.DUMMYFUNCTION("""COMPUTED_VALUE"""),"Unfathomable Anger")</f>
        <v>Unfathomable Anger</v>
      </c>
      <c r="C636" s="111" t="str">
        <f>IFERROR(__xludf.DUMMYFUNCTION("""COMPUTED_VALUE"""),"Dragon")</f>
        <v>Dragon</v>
      </c>
      <c r="D636" s="111">
        <f>IFERROR(__xludf.DUMMYFUNCTION("""COMPUTED_VALUE"""),9000.0)</f>
        <v>9000</v>
      </c>
      <c r="E636" s="111">
        <f>IFERROR(__xludf.DUMMYFUNCTION("""COMPUTED_VALUE"""),4000.0)</f>
        <v>4000</v>
      </c>
      <c r="F636" s="111" t="str">
        <f>IFERROR(__xludf.DUMMYFUNCTION("""COMPUTED_VALUE"""),"--")</f>
        <v>--</v>
      </c>
      <c r="G636" s="111" t="str">
        <f>IFERROR(__xludf.DUMMYFUNCTION("""COMPUTED_VALUE"""),"--")</f>
        <v>--</v>
      </c>
      <c r="H636" s="111" t="str">
        <f>IFERROR(__xludf.DUMMYFUNCTION("""COMPUTED_VALUE"""),"--")</f>
        <v>--</v>
      </c>
    </row>
    <row r="637">
      <c r="A637" s="95"/>
      <c r="B637" s="108" t="str">
        <f>IFERROR(__xludf.DUMMYFUNCTION("""COMPUTED_VALUE"""),"Malicious Wight Prince")</f>
        <v>Malicious Wight Prince</v>
      </c>
      <c r="C637" s="109" t="str">
        <f>IFERROR(__xludf.DUMMYFUNCTION("""COMPUTED_VALUE"""),"Undead")</f>
        <v>Undead</v>
      </c>
      <c r="D637" s="109">
        <f>IFERROR(__xludf.DUMMYFUNCTION("""COMPUTED_VALUE"""),1826.0)</f>
        <v>1826</v>
      </c>
      <c r="E637" s="109">
        <f>IFERROR(__xludf.DUMMYFUNCTION("""COMPUTED_VALUE"""),386.0)</f>
        <v>386</v>
      </c>
      <c r="F637" s="109" t="str">
        <f>IFERROR(__xludf.DUMMYFUNCTION("""COMPUTED_VALUE"""),"Thunderball")</f>
        <v>Thunderball</v>
      </c>
      <c r="G637" s="109" t="str">
        <f>IFERROR(__xludf.DUMMYFUNCTION("""COMPUTED_VALUE"""),"Lightning Staff")</f>
        <v>Lightning Staff</v>
      </c>
      <c r="H637" s="109" t="str">
        <f>IFERROR(__xludf.DUMMYFUNCTION("""COMPUTED_VALUE"""),"The Battleground")</f>
        <v>The Battleground</v>
      </c>
    </row>
    <row r="638">
      <c r="A638" s="92"/>
      <c r="B638" s="110" t="str">
        <f>IFERROR(__xludf.DUMMYFUNCTION("""COMPUTED_VALUE"""),"Malicious Dragon Zombie")</f>
        <v>Malicious Dragon Zombie</v>
      </c>
      <c r="C638" s="111" t="str">
        <f>IFERROR(__xludf.DUMMYFUNCTION("""COMPUTED_VALUE"""),"Dragon")</f>
        <v>Dragon</v>
      </c>
      <c r="D638" s="111">
        <f>IFERROR(__xludf.DUMMYFUNCTION("""COMPUTED_VALUE"""),1844.0)</f>
        <v>1844</v>
      </c>
      <c r="E638" s="111">
        <f>IFERROR(__xludf.DUMMYFUNCTION("""COMPUTED_VALUE"""),523.0)</f>
        <v>523</v>
      </c>
      <c r="F638" s="111" t="str">
        <f>IFERROR(__xludf.DUMMYFUNCTION("""COMPUTED_VALUE"""),"Dragon Horn")</f>
        <v>Dragon Horn</v>
      </c>
      <c r="G638" s="111" t="str">
        <f>IFERROR(__xludf.DUMMYFUNCTION("""COMPUTED_VALUE"""),"Serpent's Soul")</f>
        <v>Serpent's Soul</v>
      </c>
      <c r="H638" s="111" t="str">
        <f>IFERROR(__xludf.DUMMYFUNCTION("""COMPUTED_VALUE"""),"The Battleground")</f>
        <v>The Battleground</v>
      </c>
    </row>
    <row r="639">
      <c r="A639" s="95"/>
      <c r="B639" s="108" t="str">
        <f>IFERROR(__xludf.DUMMYFUNCTION("""COMPUTED_VALUE"""),"Crystalotl")</f>
        <v>Crystalotl</v>
      </c>
      <c r="C639" s="109" t="str">
        <f>IFERROR(__xludf.DUMMYFUNCTION("""COMPUTED_VALUE"""),"Dragon")</f>
        <v>Dragon</v>
      </c>
      <c r="D639" s="109">
        <f>IFERROR(__xludf.DUMMYFUNCTION("""COMPUTED_VALUE"""),8400.0)</f>
        <v>8400</v>
      </c>
      <c r="E639" s="109">
        <f>IFERROR(__xludf.DUMMYFUNCTION("""COMPUTED_VALUE"""),1050.0)</f>
        <v>1050</v>
      </c>
      <c r="F639" s="109" t="str">
        <f>IFERROR(__xludf.DUMMYFUNCTION("""COMPUTED_VALUE"""),"Artful Amethyst")</f>
        <v>Artful Amethyst</v>
      </c>
      <c r="G639" s="109" t="str">
        <f>IFERROR(__xludf.DUMMYFUNCTION("""COMPUTED_VALUE"""),"Uber Agate of Evolution")</f>
        <v>Uber Agate of Evolution</v>
      </c>
      <c r="H639" s="109" t="str">
        <f>IFERROR(__xludf.DUMMYFUNCTION("""COMPUTED_VALUE"""),"The Battleground")</f>
        <v>The Battleground</v>
      </c>
    </row>
    <row r="640">
      <c r="A640" s="92"/>
      <c r="B640" s="110" t="str">
        <f>IFERROR(__xludf.DUMMYFUNCTION("""COMPUTED_VALUE"""),"Crimson Killing Machine")</f>
        <v>Crimson Killing Machine</v>
      </c>
      <c r="C640" s="111" t="str">
        <f>IFERROR(__xludf.DUMMYFUNCTION("""COMPUTED_VALUE"""),"Machine")</f>
        <v>Machine</v>
      </c>
      <c r="D640" s="111">
        <f>IFERROR(__xludf.DUMMYFUNCTION("""COMPUTED_VALUE"""),3600.0)</f>
        <v>3600</v>
      </c>
      <c r="E640" s="111">
        <f>IFERROR(__xludf.DUMMYFUNCTION("""COMPUTED_VALUE"""),840.0)</f>
        <v>840</v>
      </c>
      <c r="F640" s="111" t="str">
        <f>IFERROR(__xludf.DUMMYFUNCTION("""COMPUTED_VALUE"""),"Dracolyte")</f>
        <v>Dracolyte</v>
      </c>
      <c r="G640" s="111" t="str">
        <f>IFERROR(__xludf.DUMMYFUNCTION("""COMPUTED_VALUE"""),"Chronocrystal")</f>
        <v>Chronocrystal</v>
      </c>
      <c r="H640" s="111" t="str">
        <f>IFERROR(__xludf.DUMMYFUNCTION("""COMPUTED_VALUE"""),"Luminary's Trial")</f>
        <v>Luminary's Trial</v>
      </c>
    </row>
    <row r="641">
      <c r="A641" s="95"/>
      <c r="B641" s="108" t="str">
        <f>IFERROR(__xludf.DUMMYFUNCTION("""COMPUTED_VALUE"""),"Vicious Dark Dullahan")</f>
        <v>Vicious Dark Dullahan</v>
      </c>
      <c r="C641" s="109" t="str">
        <f>IFERROR(__xludf.DUMMYFUNCTION("""COMPUTED_VALUE"""),"Undead")</f>
        <v>Undead</v>
      </c>
      <c r="D641" s="109">
        <f>IFERROR(__xludf.DUMMYFUNCTION("""COMPUTED_VALUE"""),1735.0)</f>
        <v>1735</v>
      </c>
      <c r="E641" s="109">
        <f>IFERROR(__xludf.DUMMYFUNCTION("""COMPUTED_VALUE"""),420.0)</f>
        <v>420</v>
      </c>
      <c r="F641" s="109" t="str">
        <f>IFERROR(__xludf.DUMMYFUNCTION("""COMPUTED_VALUE"""),"Zombie Mail")</f>
        <v>Zombie Mail</v>
      </c>
      <c r="G641" s="109" t="str">
        <f>IFERROR(__xludf.DUMMYFUNCTION("""COMPUTED_VALUE"""),"Saintess Shield")</f>
        <v>Saintess Shield</v>
      </c>
      <c r="H641" s="109" t="str">
        <f>IFERROR(__xludf.DUMMYFUNCTION("""COMPUTED_VALUE"""),"Luminary's Trial")</f>
        <v>Luminary's Trial</v>
      </c>
    </row>
    <row r="642">
      <c r="A642" s="92"/>
      <c r="B642" s="110" t="str">
        <f>IFERROR(__xludf.DUMMYFUNCTION("""COMPUTED_VALUE"""),"Vicious Dark Leger-De-Man")</f>
        <v>Vicious Dark Leger-De-Man</v>
      </c>
      <c r="C642" s="111" t="str">
        <f>IFERROR(__xludf.DUMMYFUNCTION("""COMPUTED_VALUE"""),"Humanoid")</f>
        <v>Humanoid</v>
      </c>
      <c r="D642" s="111">
        <f>IFERROR(__xludf.DUMMYFUNCTION("""COMPUTED_VALUE"""),1726.0)</f>
        <v>1726</v>
      </c>
      <c r="E642" s="111">
        <f>IFERROR(__xludf.DUMMYFUNCTION("""COMPUTED_VALUE"""),486.0)</f>
        <v>486</v>
      </c>
      <c r="F642" s="111" t="str">
        <f>IFERROR(__xludf.DUMMYFUNCTION("""COMPUTED_VALUE"""),"Magic Vestment")</f>
        <v>Magic Vestment</v>
      </c>
      <c r="G642" s="111" t="str">
        <f>IFERROR(__xludf.DUMMYFUNCTION("""COMPUTED_VALUE"""),"Yggdrasil Leaf")</f>
        <v>Yggdrasil Leaf</v>
      </c>
      <c r="H642" s="111" t="str">
        <f>IFERROR(__xludf.DUMMYFUNCTION("""COMPUTED_VALUE"""),"Luminary's Trial")</f>
        <v>Luminary's Trial</v>
      </c>
    </row>
    <row r="643">
      <c r="A643" s="95"/>
      <c r="B643" s="108" t="str">
        <f>IFERROR(__xludf.DUMMYFUNCTION("""COMPUTED_VALUE"""),"Vicious Hard-Boiled Eggsoskeleton")</f>
        <v>Vicious Hard-Boiled Eggsoskeleton</v>
      </c>
      <c r="C643" s="109" t="str">
        <f>IFERROR(__xludf.DUMMYFUNCTION("""COMPUTED_VALUE"""),"Machine")</f>
        <v>Machine</v>
      </c>
      <c r="D643" s="109">
        <f>IFERROR(__xludf.DUMMYFUNCTION("""COMPUTED_VALUE"""),1709.0)</f>
        <v>1709</v>
      </c>
      <c r="E643" s="109">
        <f>IFERROR(__xludf.DUMMYFUNCTION("""COMPUTED_VALUE"""),505.0)</f>
        <v>505</v>
      </c>
      <c r="F643" s="109" t="str">
        <f>IFERROR(__xludf.DUMMYFUNCTION("""COMPUTED_VALUE"""),"Mythril Ore")</f>
        <v>Mythril Ore</v>
      </c>
      <c r="G643" s="109" t="str">
        <f>IFERROR(__xludf.DUMMYFUNCTION("""COMPUTED_VALUE"""),"Artful Amethyst")</f>
        <v>Artful Amethyst</v>
      </c>
      <c r="H643" s="109" t="str">
        <f>IFERROR(__xludf.DUMMYFUNCTION("""COMPUTED_VALUE"""),"Luminary's Trial")</f>
        <v>Luminary's Trial</v>
      </c>
    </row>
    <row r="644">
      <c r="A644" s="92"/>
      <c r="B644" s="110" t="str">
        <f>IFERROR(__xludf.DUMMYFUNCTION("""COMPUTED_VALUE"""),"Master Moosifer")</f>
        <v>Master Moosifer</v>
      </c>
      <c r="C644" s="111" t="str">
        <f>IFERROR(__xludf.DUMMYFUNCTION("""COMPUTED_VALUE"""),"Demon")</f>
        <v>Demon</v>
      </c>
      <c r="D644" s="111">
        <f>IFERROR(__xludf.DUMMYFUNCTION("""COMPUTED_VALUE"""),2440.0)</f>
        <v>2440</v>
      </c>
      <c r="E644" s="111">
        <f>IFERROR(__xludf.DUMMYFUNCTION("""COMPUTED_VALUE"""),620.0)</f>
        <v>620</v>
      </c>
      <c r="F644" s="111" t="str">
        <f>IFERROR(__xludf.DUMMYFUNCTION("""COMPUTED_VALUE"""),"Uber Agate of Evolution")</f>
        <v>Uber Agate of Evolution</v>
      </c>
      <c r="G644" s="111" t="str">
        <f>IFERROR(__xludf.DUMMYFUNCTION("""COMPUTED_VALUE"""),"Frostfire Fingers")</f>
        <v>Frostfire Fingers</v>
      </c>
      <c r="H644" s="111" t="str">
        <f>IFERROR(__xludf.DUMMYFUNCTION("""COMPUTED_VALUE"""),"Luminary's Trial")</f>
        <v>Luminary's Trial</v>
      </c>
    </row>
    <row r="645">
      <c r="A645" s="95"/>
      <c r="B645" s="108" t="str">
        <f>IFERROR(__xludf.DUMMYFUNCTION("""COMPUTED_VALUE"""),"Vicious Hellrider")</f>
        <v>Vicious Hellrider</v>
      </c>
      <c r="C645" s="109" t="str">
        <f>IFERROR(__xludf.DUMMYFUNCTION("""COMPUTED_VALUE"""),"Undead")</f>
        <v>Undead</v>
      </c>
      <c r="D645" s="109">
        <f>IFERROR(__xludf.DUMMYFUNCTION("""COMPUTED_VALUE"""),1582.0)</f>
        <v>1582</v>
      </c>
      <c r="E645" s="109">
        <f>IFERROR(__xludf.DUMMYFUNCTION("""COMPUTED_VALUE"""),451.0)</f>
        <v>451</v>
      </c>
      <c r="F645" s="109" t="str">
        <f>IFERROR(__xludf.DUMMYFUNCTION("""COMPUTED_VALUE"""),"Serpent Bone")</f>
        <v>Serpent Bone</v>
      </c>
      <c r="G645" s="109" t="str">
        <f>IFERROR(__xludf.DUMMYFUNCTION("""COMPUTED_VALUE"""),"Dragon Bandana")</f>
        <v>Dragon Bandana</v>
      </c>
      <c r="H645" s="109" t="str">
        <f>IFERROR(__xludf.DUMMYFUNCTION("""COMPUTED_VALUE"""),"Luminary's Trial")</f>
        <v>Luminary's Trial</v>
      </c>
    </row>
    <row r="646">
      <c r="A646" s="92"/>
      <c r="B646" s="110" t="str">
        <f>IFERROR(__xludf.DUMMYFUNCTION("""COMPUTED_VALUE"""),"Red Giant")</f>
        <v>Red Giant</v>
      </c>
      <c r="C646" s="111" t="str">
        <f>IFERROR(__xludf.DUMMYFUNCTION("""COMPUTED_VALUE"""),"Dragon")</f>
        <v>Dragon</v>
      </c>
      <c r="D646" s="111">
        <f>IFERROR(__xludf.DUMMYFUNCTION("""COMPUTED_VALUE"""),4472.0)</f>
        <v>4472</v>
      </c>
      <c r="E646" s="111">
        <f>IFERROR(__xludf.DUMMYFUNCTION("""COMPUTED_VALUE"""),630.0)</f>
        <v>630</v>
      </c>
      <c r="F646" s="111" t="str">
        <f>IFERROR(__xludf.DUMMYFUNCTION("""COMPUTED_VALUE"""),"Uber Agate of Evolution")</f>
        <v>Uber Agate of Evolution</v>
      </c>
      <c r="G646" s="111" t="str">
        <f>IFERROR(__xludf.DUMMYFUNCTION("""COMPUTED_VALUE"""),"Metal King Helm")</f>
        <v>Metal King Helm</v>
      </c>
      <c r="H646" s="111" t="str">
        <f>IFERROR(__xludf.DUMMYFUNCTION("""COMPUTED_VALUE"""),"Luminary's Trial")</f>
        <v>Luminary's Trial</v>
      </c>
    </row>
    <row r="647">
      <c r="A647" s="95"/>
      <c r="B647" s="108" t="str">
        <f>IFERROR(__xludf.DUMMYFUNCTION("""COMPUTED_VALUE"""),"Vicious Great Dragon")</f>
        <v>Vicious Great Dragon</v>
      </c>
      <c r="C647" s="109" t="str">
        <f>IFERROR(__xludf.DUMMYFUNCTION("""COMPUTED_VALUE"""),"Dragon")</f>
        <v>Dragon</v>
      </c>
      <c r="D647" s="109">
        <f>IFERROR(__xludf.DUMMYFUNCTION("""COMPUTED_VALUE"""),5072.0)</f>
        <v>5072</v>
      </c>
      <c r="E647" s="109">
        <f>IFERROR(__xludf.DUMMYFUNCTION("""COMPUTED_VALUE"""),730.0)</f>
        <v>730</v>
      </c>
      <c r="F647" s="109" t="str">
        <f>IFERROR(__xludf.DUMMYFUNCTION("""COMPUTED_VALUE"""),"Serpent Skin")</f>
        <v>Serpent Skin</v>
      </c>
      <c r="G647" s="109" t="str">
        <f>IFERROR(__xludf.DUMMYFUNCTION("""COMPUTED_VALUE"""),"Staff of Resurrection")</f>
        <v>Staff of Resurrection</v>
      </c>
      <c r="H647" s="109" t="str">
        <f>IFERROR(__xludf.DUMMYFUNCTION("""COMPUTED_VALUE"""),"Luminary's Trial")</f>
        <v>Luminary's Trial</v>
      </c>
    </row>
    <row r="648">
      <c r="A648" s="98"/>
      <c r="B648" s="110" t="str">
        <f>IFERROR(__xludf.DUMMYFUNCTION("""COMPUTED_VALUE"""),"Vicious Headless Hunter")</f>
        <v>Vicious Headless Hunter</v>
      </c>
      <c r="C648" s="111" t="str">
        <f>IFERROR(__xludf.DUMMYFUNCTION("""COMPUTED_VALUE"""),"Undead")</f>
        <v>Undead</v>
      </c>
      <c r="D648" s="111">
        <f>IFERROR(__xludf.DUMMYFUNCTION("""COMPUTED_VALUE"""),2046.0)</f>
        <v>2046</v>
      </c>
      <c r="E648" s="111">
        <f>IFERROR(__xludf.DUMMYFUNCTION("""COMPUTED_VALUE"""),624.0)</f>
        <v>624</v>
      </c>
      <c r="F648" s="111" t="str">
        <f>IFERROR(__xludf.DUMMYFUNCTION("""COMPUTED_VALUE"""),"Ethereal Stone")</f>
        <v>Ethereal Stone</v>
      </c>
      <c r="G648" s="111" t="str">
        <f>IFERROR(__xludf.DUMMYFUNCTION("""COMPUTED_VALUE"""),"Saintess Shield")</f>
        <v>Saintess Shield</v>
      </c>
      <c r="H648" s="111" t="str">
        <f>IFERROR(__xludf.DUMMYFUNCTION("""COMPUTED_VALUE"""),"Luminary's Trial")</f>
        <v>Luminary's Trial</v>
      </c>
    </row>
    <row r="649">
      <c r="A649" s="107" t="str">
        <f>IFERROR(__xludf.DUMMYFUNCTION("""COMPUTED_VALUE"""),"P33")</f>
        <v>P33</v>
      </c>
      <c r="B649" s="108" t="str">
        <f>IFERROR(__xludf.DUMMYFUNCTION("""COMPUTED_VALUE"""),"Vicious Manticore")</f>
        <v>Vicious Manticore</v>
      </c>
      <c r="C649" s="109" t="str">
        <f>IFERROR(__xludf.DUMMYFUNCTION("""COMPUTED_VALUE"""),"Beast")</f>
        <v>Beast</v>
      </c>
      <c r="D649" s="109">
        <f>IFERROR(__xludf.DUMMYFUNCTION("""COMPUTED_VALUE"""),4040.0)</f>
        <v>4040</v>
      </c>
      <c r="E649" s="109">
        <f>IFERROR(__xludf.DUMMYFUNCTION("""COMPUTED_VALUE"""),722.0)</f>
        <v>722</v>
      </c>
      <c r="F649" s="109" t="str">
        <f>IFERROR(__xludf.DUMMYFUNCTION("""COMPUTED_VALUE"""),"Ethereal Stone")</f>
        <v>Ethereal Stone</v>
      </c>
      <c r="G649" s="109" t="str">
        <f>IFERROR(__xludf.DUMMYFUNCTION("""COMPUTED_VALUE"""),"Skull Ring")</f>
        <v>Skull Ring</v>
      </c>
      <c r="H649" s="109" t="str">
        <f>IFERROR(__xludf.DUMMYFUNCTION("""COMPUTED_VALUE"""),"Luminary's Trial (Day)")</f>
        <v>Luminary's Trial (Day)</v>
      </c>
    </row>
    <row r="650">
      <c r="A650" s="92"/>
      <c r="B650" s="110" t="str">
        <f>IFERROR(__xludf.DUMMYFUNCTION("""COMPUTED_VALUE"""),"Vicious Golden Girl")</f>
        <v>Vicious Golden Girl</v>
      </c>
      <c r="C650" s="111" t="str">
        <f>IFERROR(__xludf.DUMMYFUNCTION("""COMPUTED_VALUE"""),"Material")</f>
        <v>Material</v>
      </c>
      <c r="D650" s="111">
        <f>IFERROR(__xludf.DUMMYFUNCTION("""COMPUTED_VALUE"""),3013.0)</f>
        <v>3013</v>
      </c>
      <c r="E650" s="111">
        <f>IFERROR(__xludf.DUMMYFUNCTION("""COMPUTED_VALUE"""),677.0)</f>
        <v>677</v>
      </c>
      <c r="F650" s="111" t="str">
        <f>IFERROR(__xludf.DUMMYFUNCTION("""COMPUTED_VALUE"""),"Technicolour Dreamcloth")</f>
        <v>Technicolour Dreamcloth</v>
      </c>
      <c r="G650" s="111" t="str">
        <f>IFERROR(__xludf.DUMMYFUNCTION("""COMPUTED_VALUE"""),"Agate of Evolution")</f>
        <v>Agate of Evolution</v>
      </c>
      <c r="H650" s="111" t="str">
        <f>IFERROR(__xludf.DUMMYFUNCTION("""COMPUTED_VALUE"""),"Luminary's Trial (Day)")</f>
        <v>Luminary's Trial (Day)</v>
      </c>
    </row>
    <row r="651">
      <c r="A651" s="95"/>
      <c r="B651" s="108" t="str">
        <f>IFERROR(__xludf.DUMMYFUNCTION("""COMPUTED_VALUE"""),"Vicious King Cureslime")</f>
        <v>Vicious King Cureslime</v>
      </c>
      <c r="C651" s="109" t="str">
        <f>IFERROR(__xludf.DUMMYFUNCTION("""COMPUTED_VALUE"""),"Slime")</f>
        <v>Slime</v>
      </c>
      <c r="D651" s="109">
        <f>IFERROR(__xludf.DUMMYFUNCTION("""COMPUTED_VALUE"""),2558.0)</f>
        <v>2558</v>
      </c>
      <c r="E651" s="109">
        <f>IFERROR(__xludf.DUMMYFUNCTION("""COMPUTED_VALUE"""),565.0)</f>
        <v>565</v>
      </c>
      <c r="F651" s="109" t="str">
        <f>IFERROR(__xludf.DUMMYFUNCTION("""COMPUTED_VALUE"""),"Goobricant")</f>
        <v>Goobricant</v>
      </c>
      <c r="G651" s="109" t="str">
        <f>IFERROR(__xludf.DUMMYFUNCTION("""COMPUTED_VALUE"""),"Slime Crown")</f>
        <v>Slime Crown</v>
      </c>
      <c r="H651" s="109" t="str">
        <f>IFERROR(__xludf.DUMMYFUNCTION("""COMPUTED_VALUE"""),"Luminary's Trial (Day)")</f>
        <v>Luminary's Trial (Day)</v>
      </c>
    </row>
    <row r="652">
      <c r="A652" s="92"/>
      <c r="B652" s="110" t="str">
        <f>IFERROR(__xludf.DUMMYFUNCTION("""COMPUTED_VALUE"""),"Vicious Hooper Trooper")</f>
        <v>Vicious Hooper Trooper</v>
      </c>
      <c r="C652" s="111" t="str">
        <f>IFERROR(__xludf.DUMMYFUNCTION("""COMPUTED_VALUE"""),"Demon")</f>
        <v>Demon</v>
      </c>
      <c r="D652" s="111">
        <f>IFERROR(__xludf.DUMMYFUNCTION("""COMPUTED_VALUE"""),2443.0)</f>
        <v>2443</v>
      </c>
      <c r="E652" s="111">
        <f>IFERROR(__xludf.DUMMYFUNCTION("""COMPUTED_VALUE"""),622.0)</f>
        <v>622</v>
      </c>
      <c r="F652" s="111" t="str">
        <f>IFERROR(__xludf.DUMMYFUNCTION("""COMPUTED_VALUE"""),"Devil's Tail")</f>
        <v>Devil's Tail</v>
      </c>
      <c r="G652" s="111" t="str">
        <f>IFERROR(__xludf.DUMMYFUNCTION("""COMPUTED_VALUE"""),"King Cobra Claws")</f>
        <v>King Cobra Claws</v>
      </c>
      <c r="H652" s="111" t="str">
        <f>IFERROR(__xludf.DUMMYFUNCTION("""COMPUTED_VALUE"""),"Luminary's Trial (Day)")</f>
        <v>Luminary's Trial (Day)</v>
      </c>
    </row>
    <row r="653">
      <c r="A653" s="95"/>
      <c r="B653" s="108" t="str">
        <f>IFERROR(__xludf.DUMMYFUNCTION("""COMPUTED_VALUE"""),"Vicious Jerkules")</f>
        <v>Vicious Jerkules</v>
      </c>
      <c r="C653" s="109" t="str">
        <f>IFERROR(__xludf.DUMMYFUNCTION("""COMPUTED_VALUE"""),"Demon")</f>
        <v>Demon</v>
      </c>
      <c r="D653" s="109">
        <f>IFERROR(__xludf.DUMMYFUNCTION("""COMPUTED_VALUE"""),4260.0)</f>
        <v>4260</v>
      </c>
      <c r="E653" s="109">
        <f>IFERROR(__xludf.DUMMYFUNCTION("""COMPUTED_VALUE"""),628.0)</f>
        <v>628</v>
      </c>
      <c r="F653" s="109" t="str">
        <f>IFERROR(__xludf.DUMMYFUNCTION("""COMPUTED_VALUE"""),"Finessence")</f>
        <v>Finessence</v>
      </c>
      <c r="G653" s="109" t="str">
        <f>IFERROR(__xludf.DUMMYFUNCTION("""COMPUTED_VALUE"""),"Great Helm")</f>
        <v>Great Helm</v>
      </c>
      <c r="H653" s="109" t="str">
        <f>IFERROR(__xludf.DUMMYFUNCTION("""COMPUTED_VALUE"""),"Luminary's Trial (Day)")</f>
        <v>Luminary's Trial (Day)</v>
      </c>
    </row>
    <row r="654">
      <c r="A654" s="92"/>
      <c r="B654" s="110" t="str">
        <f>IFERROR(__xludf.DUMMYFUNCTION("""COMPUTED_VALUE"""),"Vicious Flamethrower")</f>
        <v>Vicious Flamethrower</v>
      </c>
      <c r="C654" s="111" t="str">
        <f>IFERROR(__xludf.DUMMYFUNCTION("""COMPUTED_VALUE"""),"Elemental")</f>
        <v>Elemental</v>
      </c>
      <c r="D654" s="111">
        <f>IFERROR(__xludf.DUMMYFUNCTION("""COMPUTED_VALUE"""),2835.0)</f>
        <v>2835</v>
      </c>
      <c r="E654" s="111">
        <f>IFERROR(__xludf.DUMMYFUNCTION("""COMPUTED_VALUE"""),362.0)</f>
        <v>362</v>
      </c>
      <c r="F654" s="111" t="str">
        <f>IFERROR(__xludf.DUMMYFUNCTION("""COMPUTED_VALUE"""),"Red Wood")</f>
        <v>Red Wood</v>
      </c>
      <c r="G654" s="111" t="str">
        <f>IFERROR(__xludf.DUMMYFUNCTION("""COMPUTED_VALUE"""),"Royal Ruby")</f>
        <v>Royal Ruby</v>
      </c>
      <c r="H654" s="111" t="str">
        <f>IFERROR(__xludf.DUMMYFUNCTION("""COMPUTED_VALUE"""),"Luminary's Trial (Day)")</f>
        <v>Luminary's Trial (Day)</v>
      </c>
    </row>
    <row r="655">
      <c r="A655" s="95"/>
      <c r="B655" s="108" t="str">
        <f>IFERROR(__xludf.DUMMYFUNCTION("""COMPUTED_VALUE"""),"Vicious Blizzybody")</f>
        <v>Vicious Blizzybody</v>
      </c>
      <c r="C655" s="109" t="str">
        <f>IFERROR(__xludf.DUMMYFUNCTION("""COMPUTED_VALUE"""),"Elemental")</f>
        <v>Elemental</v>
      </c>
      <c r="D655" s="109">
        <f>IFERROR(__xludf.DUMMYFUNCTION("""COMPUTED_VALUE"""),3036.0)</f>
        <v>3036</v>
      </c>
      <c r="E655" s="109">
        <f>IFERROR(__xludf.DUMMYFUNCTION("""COMPUTED_VALUE"""),382.0)</f>
        <v>382</v>
      </c>
      <c r="F655" s="109" t="str">
        <f>IFERROR(__xludf.DUMMYFUNCTION("""COMPUTED_VALUE"""),"Ice Crystal")</f>
        <v>Ice Crystal</v>
      </c>
      <c r="G655" s="109" t="str">
        <f>IFERROR(__xludf.DUMMYFUNCTION("""COMPUTED_VALUE"""),"Sovereign Seal")</f>
        <v>Sovereign Seal</v>
      </c>
      <c r="H655" s="109" t="str">
        <f>IFERROR(__xludf.DUMMYFUNCTION("""COMPUTED_VALUE"""),"Luminary's Trial (Day)")</f>
        <v>Luminary's Trial (Day)</v>
      </c>
    </row>
    <row r="656">
      <c r="A656" s="92"/>
      <c r="B656" s="110" t="str">
        <f>IFERROR(__xludf.DUMMYFUNCTION("""COMPUTED_VALUE"""),"Vicious Liege Lizard")</f>
        <v>Vicious Liege Lizard</v>
      </c>
      <c r="C656" s="111" t="str">
        <f>IFERROR(__xludf.DUMMYFUNCTION("""COMPUTED_VALUE"""),"Dragon")</f>
        <v>Dragon</v>
      </c>
      <c r="D656" s="111">
        <f>IFERROR(__xludf.DUMMYFUNCTION("""COMPUTED_VALUE"""),5364.0)</f>
        <v>5364</v>
      </c>
      <c r="E656" s="111">
        <f>IFERROR(__xludf.DUMMYFUNCTION("""COMPUTED_VALUE"""),865.0)</f>
        <v>865</v>
      </c>
      <c r="F656" s="111" t="str">
        <f>IFERROR(__xludf.DUMMYFUNCTION("""COMPUTED_VALUE"""),"Dragon Hide")</f>
        <v>Dragon Hide</v>
      </c>
      <c r="G656" s="111" t="str">
        <f>IFERROR(__xludf.DUMMYFUNCTION("""COMPUTED_VALUE"""),"Lucky Dragon's Wing")</f>
        <v>Lucky Dragon's Wing</v>
      </c>
      <c r="H656" s="111" t="str">
        <f>IFERROR(__xludf.DUMMYFUNCTION("""COMPUTED_VALUE"""),"Luminary's Trial (Night)")</f>
        <v>Luminary's Trial (Night)</v>
      </c>
    </row>
    <row r="657">
      <c r="A657" s="95"/>
      <c r="B657" s="108" t="str">
        <f>IFERROR(__xludf.DUMMYFUNCTION("""COMPUTED_VALUE"""),"Vicious Iron Maiden")</f>
        <v>Vicious Iron Maiden</v>
      </c>
      <c r="C657" s="109" t="str">
        <f>IFERROR(__xludf.DUMMYFUNCTION("""COMPUTED_VALUE"""),"Material")</f>
        <v>Material</v>
      </c>
      <c r="D657" s="109">
        <f>IFERROR(__xludf.DUMMYFUNCTION("""COMPUTED_VALUE"""),2800.0)</f>
        <v>2800</v>
      </c>
      <c r="E657" s="109">
        <f>IFERROR(__xludf.DUMMYFUNCTION("""COMPUTED_VALUE"""),640.0)</f>
        <v>640</v>
      </c>
      <c r="F657" s="109" t="str">
        <f>IFERROR(__xludf.DUMMYFUNCTION("""COMPUTED_VALUE"""),"Silkblossom")</f>
        <v>Silkblossom</v>
      </c>
      <c r="G657" s="109" t="str">
        <f>IFERROR(__xludf.DUMMYFUNCTION("""COMPUTED_VALUE"""),"Hairband")</f>
        <v>Hairband</v>
      </c>
      <c r="H657" s="109" t="str">
        <f>IFERROR(__xludf.DUMMYFUNCTION("""COMPUTED_VALUE"""),"Luminary's Trial (Night)")</f>
        <v>Luminary's Trial (Night)</v>
      </c>
    </row>
    <row r="658">
      <c r="A658" s="92"/>
      <c r="B658" s="110" t="str">
        <f>IFERROR(__xludf.DUMMYFUNCTION("""COMPUTED_VALUE"""),"Vicious Vampire Succubat")</f>
        <v>Vicious Vampire Succubat</v>
      </c>
      <c r="C658" s="111" t="str">
        <f>IFERROR(__xludf.DUMMYFUNCTION("""COMPUTED_VALUE"""),"Bird")</f>
        <v>Bird</v>
      </c>
      <c r="D658" s="111">
        <f>IFERROR(__xludf.DUMMYFUNCTION("""COMPUTED_VALUE"""),1556.0)</f>
        <v>1556</v>
      </c>
      <c r="E658" s="111">
        <f>IFERROR(__xludf.DUMMYFUNCTION("""COMPUTED_VALUE"""),352.0)</f>
        <v>352</v>
      </c>
      <c r="F658" s="111" t="str">
        <f>IFERROR(__xludf.DUMMYFUNCTION("""COMPUTED_VALUE"""),"Fishnet Stockings")</f>
        <v>Fishnet Stockings</v>
      </c>
      <c r="G658" s="111" t="str">
        <f>IFERROR(__xludf.DUMMYFUNCTION("""COMPUTED_VALUE"""),"Pretty Betsy")</f>
        <v>Pretty Betsy</v>
      </c>
      <c r="H658" s="111" t="str">
        <f>IFERROR(__xludf.DUMMYFUNCTION("""COMPUTED_VALUE"""),"Luminary's Trial (Night)")</f>
        <v>Luminary's Trial (Night)</v>
      </c>
    </row>
    <row r="659">
      <c r="A659" s="95"/>
      <c r="B659" s="108" t="str">
        <f>IFERROR(__xludf.DUMMYFUNCTION("""COMPUTED_VALUE"""),"Vicious Boss Troll")</f>
        <v>Vicious Boss Troll</v>
      </c>
      <c r="C659" s="109" t="str">
        <f>IFERROR(__xludf.DUMMYFUNCTION("""COMPUTED_VALUE"""),"Demon")</f>
        <v>Demon</v>
      </c>
      <c r="D659" s="109">
        <f>IFERROR(__xludf.DUMMYFUNCTION("""COMPUTED_VALUE"""),4020.0)</f>
        <v>4020</v>
      </c>
      <c r="E659" s="109">
        <f>IFERROR(__xludf.DUMMYFUNCTION("""COMPUTED_VALUE"""),606.0)</f>
        <v>606</v>
      </c>
      <c r="F659" s="109" t="str">
        <f>IFERROR(__xludf.DUMMYFUNCTION("""COMPUTED_VALUE"""),"Fine Fur")</f>
        <v>Fine Fur</v>
      </c>
      <c r="G659" s="109" t="str">
        <f>IFERROR(__xludf.DUMMYFUNCTION("""COMPUTED_VALUE"""),"Strength Ring")</f>
        <v>Strength Ring</v>
      </c>
      <c r="H659" s="109" t="str">
        <f>IFERROR(__xludf.DUMMYFUNCTION("""COMPUTED_VALUE"""),"Luminary's Trial (Night)")</f>
        <v>Luminary's Trial (Night)</v>
      </c>
    </row>
    <row r="660">
      <c r="A660" s="92"/>
      <c r="B660" s="110" t="str">
        <f>IFERROR(__xludf.DUMMYFUNCTION("""COMPUTED_VALUE"""),"Pandora's Big Bad Box")</f>
        <v>Pandora's Big Bad Box</v>
      </c>
      <c r="C660" s="111" t="str">
        <f>IFERROR(__xludf.DUMMYFUNCTION("""COMPUTED_VALUE"""),"Material")</f>
        <v>Material</v>
      </c>
      <c r="D660" s="111">
        <f>IFERROR(__xludf.DUMMYFUNCTION("""COMPUTED_VALUE"""),6767.0)</f>
        <v>6767</v>
      </c>
      <c r="E660" s="111">
        <f>IFERROR(__xludf.DUMMYFUNCTION("""COMPUTED_VALUE"""),1555.0)</f>
        <v>1555</v>
      </c>
      <c r="F660" s="111" t="str">
        <f>IFERROR(__xludf.DUMMYFUNCTION("""COMPUTED_VALUE"""),"--")</f>
        <v>--</v>
      </c>
      <c r="G660" s="111" t="str">
        <f>IFERROR(__xludf.DUMMYFUNCTION("""COMPUTED_VALUE"""),"--")</f>
        <v>--</v>
      </c>
      <c r="H660" s="110" t="str">
        <f>IFERROR(__xludf.DUMMYFUNCTION("""COMPUTED_VALUE"""),"Luminary's Trial: 3F East room, giant chest")</f>
        <v>Luminary's Trial: 3F East room, giant chest</v>
      </c>
    </row>
    <row r="661">
      <c r="A661" s="95"/>
      <c r="B661" s="108" t="str">
        <f>IFERROR(__xludf.DUMMYFUNCTION("""COMPUTED_VALUE"""),"Gold Grabber")</f>
        <v>Gold Grabber</v>
      </c>
      <c r="C661" s="109" t="str">
        <f>IFERROR(__xludf.DUMMYFUNCTION("""COMPUTED_VALUE"""),"Machine")</f>
        <v>Machine</v>
      </c>
      <c r="D661" s="109">
        <f>IFERROR(__xludf.DUMMYFUNCTION("""COMPUTED_VALUE"""),2222.0)</f>
        <v>2222</v>
      </c>
      <c r="E661" s="109">
        <f>IFERROR(__xludf.DUMMYFUNCTION("""COMPUTED_VALUE"""),1110.0)</f>
        <v>1110</v>
      </c>
      <c r="F661" s="109" t="str">
        <f>IFERROR(__xludf.DUMMYFUNCTION("""COMPUTED_VALUE"""),"Mini Medal")</f>
        <v>Mini Medal</v>
      </c>
      <c r="G661" s="109" t="str">
        <f>IFERROR(__xludf.DUMMYFUNCTION("""COMPUTED_VALUE"""),"Pep Pip")</f>
        <v>Pep Pip</v>
      </c>
      <c r="H661" s="109" t="str">
        <f>IFERROR(__xludf.DUMMYFUNCTION("""COMPUTED_VALUE"""),"Luminary's Trial")</f>
        <v>Luminary's Trial</v>
      </c>
    </row>
    <row r="662">
      <c r="A662" s="92"/>
      <c r="B662" s="112" t="str">
        <f>IFERROR(__xludf.DUMMYFUNCTION("""COMPUTED_VALUE"""),"Fortune Filcher (Rarefied)")</f>
        <v>Fortune Filcher (Rarefied)</v>
      </c>
      <c r="C662" s="111" t="str">
        <f>IFERROR(__xludf.DUMMYFUNCTION("""COMPUTED_VALUE"""),"Machine")</f>
        <v>Machine</v>
      </c>
      <c r="D662" s="111">
        <f>IFERROR(__xludf.DUMMYFUNCTION("""COMPUTED_VALUE"""),7777.0)</f>
        <v>7777</v>
      </c>
      <c r="E662" s="111">
        <f>IFERROR(__xludf.DUMMYFUNCTION("""COMPUTED_VALUE"""),7777.0)</f>
        <v>7777</v>
      </c>
      <c r="F662" s="111" t="str">
        <f>IFERROR(__xludf.DUMMYFUNCTION("""COMPUTED_VALUE"""),"Orichalcum")</f>
        <v>Orichalcum</v>
      </c>
      <c r="G662" s="111" t="str">
        <f>IFERROR(__xludf.DUMMYFUNCTION("""COMPUTED_VALUE"""),"Pep Pop")</f>
        <v>Pep Pop</v>
      </c>
      <c r="H662" s="110" t="str">
        <f>IFERROR(__xludf.DUMMYFUNCTION("""COMPUTED_VALUE"""),"Luminary's Trial: 3F, rare Gold Grabber")</f>
        <v>Luminary's Trial: 3F, rare Gold Grabber</v>
      </c>
    </row>
    <row r="663">
      <c r="A663" s="95"/>
      <c r="B663" s="108" t="str">
        <f>IFERROR(__xludf.DUMMYFUNCTION("""COMPUTED_VALUE"""),"Vicious Metal King Slime")</f>
        <v>Vicious Metal King Slime</v>
      </c>
      <c r="C663" s="109" t="str">
        <f>IFERROR(__xludf.DUMMYFUNCTION("""COMPUTED_VALUE"""),"Slime")</f>
        <v>Slime</v>
      </c>
      <c r="D663" s="109">
        <f>IFERROR(__xludf.DUMMYFUNCTION("""COMPUTED_VALUE"""),161610.0)</f>
        <v>161610</v>
      </c>
      <c r="E663" s="109">
        <f>IFERROR(__xludf.DUMMYFUNCTION("""COMPUTED_VALUE"""),1500.0)</f>
        <v>1500</v>
      </c>
      <c r="F663" s="109" t="str">
        <f>IFERROR(__xludf.DUMMYFUNCTION("""COMPUTED_VALUE"""),"Slime Crown")</f>
        <v>Slime Crown</v>
      </c>
      <c r="G663" s="109" t="str">
        <f>IFERROR(__xludf.DUMMYFUNCTION("""COMPUTED_VALUE"""),"Pep Pip")</f>
        <v>Pep Pip</v>
      </c>
      <c r="H663" s="109" t="str">
        <f>IFERROR(__xludf.DUMMYFUNCTION("""COMPUTED_VALUE"""),"Luminary's Trial")</f>
        <v>Luminary's Trial</v>
      </c>
    </row>
    <row r="664">
      <c r="A664" s="92"/>
      <c r="B664" s="110" t="str">
        <f>IFERROR(__xludf.DUMMYFUNCTION("""COMPUTED_VALUE"""),"Sheer Decadence")</f>
        <v>Sheer Decadence</v>
      </c>
      <c r="C664" s="111" t="str">
        <f>IFERROR(__xludf.DUMMYFUNCTION("""COMPUTED_VALUE"""),"Demon")</f>
        <v>Demon</v>
      </c>
      <c r="D664" s="111">
        <f>IFERROR(__xludf.DUMMYFUNCTION("""COMPUTED_VALUE"""),4400.0)</f>
        <v>4400</v>
      </c>
      <c r="E664" s="111">
        <f>IFERROR(__xludf.DUMMYFUNCTION("""COMPUTED_VALUE"""),2000.0)</f>
        <v>2000</v>
      </c>
      <c r="F664" s="111" t="str">
        <f>IFERROR(__xludf.DUMMYFUNCTION("""COMPUTED_VALUE"""),"--")</f>
        <v>--</v>
      </c>
      <c r="G664" s="111" t="str">
        <f>IFERROR(__xludf.DUMMYFUNCTION("""COMPUTED_VALUE"""),"--")</f>
        <v>--</v>
      </c>
      <c r="H664" s="111" t="str">
        <f>IFERROR(__xludf.DUMMYFUNCTION("""COMPUTED_VALUE"""),"--")</f>
        <v>--</v>
      </c>
    </row>
    <row r="665">
      <c r="A665" s="95"/>
      <c r="B665" s="108" t="str">
        <f>IFERROR(__xludf.DUMMYFUNCTION("""COMPUTED_VALUE"""),"All-Consuming Greed")</f>
        <v>All-Consuming Greed</v>
      </c>
      <c r="C665" s="109" t="str">
        <f>IFERROR(__xludf.DUMMYFUNCTION("""COMPUTED_VALUE"""),"Material")</f>
        <v>Material</v>
      </c>
      <c r="D665" s="109">
        <f>IFERROR(__xludf.DUMMYFUNCTION("""COMPUTED_VALUE"""),5600.0)</f>
        <v>5600</v>
      </c>
      <c r="E665" s="109">
        <f>IFERROR(__xludf.DUMMYFUNCTION("""COMPUTED_VALUE"""),3000.0)</f>
        <v>3000</v>
      </c>
      <c r="F665" s="109" t="str">
        <f>IFERROR(__xludf.DUMMYFUNCTION("""COMPUTED_VALUE"""),"--")</f>
        <v>--</v>
      </c>
      <c r="G665" s="109" t="str">
        <f>IFERROR(__xludf.DUMMYFUNCTION("""COMPUTED_VALUE"""),"--")</f>
        <v>--</v>
      </c>
      <c r="H665" s="109" t="str">
        <f>IFERROR(__xludf.DUMMYFUNCTION("""COMPUTED_VALUE"""),"--")</f>
        <v>--</v>
      </c>
    </row>
    <row r="666">
      <c r="A666" s="92"/>
      <c r="B666" s="110" t="str">
        <f>IFERROR(__xludf.DUMMYFUNCTION("""COMPUTED_VALUE"""),"Abject Terror")</f>
        <v>Abject Terror</v>
      </c>
      <c r="C666" s="111" t="str">
        <f>IFERROR(__xludf.DUMMYFUNCTION("""COMPUTED_VALUE"""),"Dragon")</f>
        <v>Dragon</v>
      </c>
      <c r="D666" s="111">
        <f>IFERROR(__xludf.DUMMYFUNCTION("""COMPUTED_VALUE"""),6000.0)</f>
        <v>6000</v>
      </c>
      <c r="E666" s="111">
        <f>IFERROR(__xludf.DUMMYFUNCTION("""COMPUTED_VALUE"""),2000.0)</f>
        <v>2000</v>
      </c>
      <c r="F666" s="111" t="str">
        <f>IFERROR(__xludf.DUMMYFUNCTION("""COMPUTED_VALUE"""),"--")</f>
        <v>--</v>
      </c>
      <c r="G666" s="111" t="str">
        <f>IFERROR(__xludf.DUMMYFUNCTION("""COMPUTED_VALUE"""),"--")</f>
        <v>--</v>
      </c>
      <c r="H666" s="111" t="str">
        <f>IFERROR(__xludf.DUMMYFUNCTION("""COMPUTED_VALUE"""),"--")</f>
        <v>--</v>
      </c>
    </row>
    <row r="667">
      <c r="A667" s="95"/>
      <c r="B667" s="108" t="str">
        <f>IFERROR(__xludf.DUMMYFUNCTION("""COMPUTED_VALUE"""),"Darkest Despair")</f>
        <v>Darkest Despair</v>
      </c>
      <c r="C667" s="109" t="str">
        <f>IFERROR(__xludf.DUMMYFUNCTION("""COMPUTED_VALUE"""),"Dragon")</f>
        <v>Dragon</v>
      </c>
      <c r="D667" s="109">
        <f>IFERROR(__xludf.DUMMYFUNCTION("""COMPUTED_VALUE"""),6000.0)</f>
        <v>6000</v>
      </c>
      <c r="E667" s="109">
        <f>IFERROR(__xludf.DUMMYFUNCTION("""COMPUTED_VALUE"""),2000.0)</f>
        <v>2000</v>
      </c>
      <c r="F667" s="109" t="str">
        <f>IFERROR(__xludf.DUMMYFUNCTION("""COMPUTED_VALUE"""),"--")</f>
        <v>--</v>
      </c>
      <c r="G667" s="109" t="str">
        <f>IFERROR(__xludf.DUMMYFUNCTION("""COMPUTED_VALUE"""),"--")</f>
        <v>--</v>
      </c>
      <c r="H667" s="109" t="str">
        <f>IFERROR(__xludf.DUMMYFUNCTION("""COMPUTED_VALUE"""),"--")</f>
        <v>--</v>
      </c>
    </row>
    <row r="668">
      <c r="A668" s="98"/>
      <c r="B668" s="110" t="str">
        <f>IFERROR(__xludf.DUMMYFUNCTION("""COMPUTED_VALUE"""),"Overweening Pride")</f>
        <v>Overweening Pride</v>
      </c>
      <c r="C668" s="111" t="str">
        <f>IFERROR(__xludf.DUMMYFUNCTION("""COMPUTED_VALUE"""),"???")</f>
        <v>???</v>
      </c>
      <c r="D668" s="111">
        <f>IFERROR(__xludf.DUMMYFUNCTION("""COMPUTED_VALUE"""),16000.0)</f>
        <v>16000</v>
      </c>
      <c r="E668" s="111">
        <f>IFERROR(__xludf.DUMMYFUNCTION("""COMPUTED_VALUE"""),4800.0)</f>
        <v>4800</v>
      </c>
      <c r="F668" s="111" t="str">
        <f>IFERROR(__xludf.DUMMYFUNCTION("""COMPUTED_VALUE"""),"--")</f>
        <v>--</v>
      </c>
      <c r="G668" s="111" t="str">
        <f>IFERROR(__xludf.DUMMYFUNCTION("""COMPUTED_VALUE"""),"--")</f>
        <v>--</v>
      </c>
      <c r="H668" s="111" t="str">
        <f>IFERROR(__xludf.DUMMYFUNCTION("""COMPUTED_VALUE"""),"--")</f>
        <v>--</v>
      </c>
    </row>
    <row r="669">
      <c r="A669" s="107" t="str">
        <f>IFERROR(__xludf.DUMMYFUNCTION("""COMPUTED_VALUE"""),"P34")</f>
        <v>P34</v>
      </c>
      <c r="B669" s="108" t="str">
        <f>IFERROR(__xludf.DUMMYFUNCTION("""COMPUTED_VALUE"""),"Final Boss")</f>
        <v>Final Boss</v>
      </c>
      <c r="C669" s="109"/>
      <c r="D669" s="109"/>
      <c r="E669" s="109"/>
      <c r="F669" s="109"/>
      <c r="G669" s="109"/>
      <c r="H669" s="109"/>
    </row>
    <row r="670">
      <c r="A670" s="98"/>
      <c r="B670" s="110" t="str">
        <f>IFERROR(__xludf.DUMMYFUNCTION("""COMPUTED_VALUE"""),"Final Boss")</f>
        <v>Final Boss</v>
      </c>
      <c r="C670" s="111"/>
      <c r="D670" s="111"/>
      <c r="E670" s="111"/>
      <c r="F670" s="111"/>
      <c r="G670" s="111"/>
      <c r="H670" s="111"/>
    </row>
  </sheetData>
  <mergeCells count="41">
    <mergeCell ref="A2:H2"/>
    <mergeCell ref="A3:H3"/>
    <mergeCell ref="A4:H4"/>
    <mergeCell ref="A5:H5"/>
    <mergeCell ref="A6:H6"/>
    <mergeCell ref="A7:A26"/>
    <mergeCell ref="A27:A46"/>
    <mergeCell ref="A187:A207"/>
    <mergeCell ref="B201:H201"/>
    <mergeCell ref="A47:A66"/>
    <mergeCell ref="A67:A86"/>
    <mergeCell ref="A87:A106"/>
    <mergeCell ref="A107:A126"/>
    <mergeCell ref="A127:A146"/>
    <mergeCell ref="A147:A166"/>
    <mergeCell ref="A167:A186"/>
    <mergeCell ref="A348:A367"/>
    <mergeCell ref="A368:A387"/>
    <mergeCell ref="A388:A408"/>
    <mergeCell ref="B399:H399"/>
    <mergeCell ref="A208:A227"/>
    <mergeCell ref="A228:A247"/>
    <mergeCell ref="A248:A267"/>
    <mergeCell ref="A268:A287"/>
    <mergeCell ref="A288:A307"/>
    <mergeCell ref="A308:A327"/>
    <mergeCell ref="A328:A347"/>
    <mergeCell ref="A549:A568"/>
    <mergeCell ref="A569:A588"/>
    <mergeCell ref="A589:A608"/>
    <mergeCell ref="A609:A628"/>
    <mergeCell ref="A629:A648"/>
    <mergeCell ref="A649:A668"/>
    <mergeCell ref="A669:A670"/>
    <mergeCell ref="A409:A428"/>
    <mergeCell ref="A429:A448"/>
    <mergeCell ref="A449:A468"/>
    <mergeCell ref="A469:A488"/>
    <mergeCell ref="A489:A508"/>
    <mergeCell ref="A509:A528"/>
    <mergeCell ref="A529:A54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2.38"/>
    <col customWidth="1" min="3" max="3" width="62.63"/>
    <col customWidth="1" min="4" max="4" width="28.5"/>
  </cols>
  <sheetData>
    <row r="1">
      <c r="A1" s="1" t="str">
        <f>IFERROR(__xludf.DUMMYFUNCTION("IMPORTRANGE(""1pGQGO9M_OLNstXbY45t1_zMDCLpiw8pwB7y8fM3IKkA"",""Quest!A1:D163"")"),"Quest")</f>
        <v>Quest</v>
      </c>
      <c r="B1" s="113" t="str">
        <f>IFERROR(__xludf.DUMMYFUNCTION("""COMPUTED_VALUE"""),"Location")</f>
        <v>Location</v>
      </c>
      <c r="C1" s="113" t="str">
        <f>IFERROR(__xludf.DUMMYFUNCTION("""COMPUTED_VALUE"""),"Solution")</f>
        <v>Solution</v>
      </c>
      <c r="D1" s="113" t="str">
        <f>IFERROR(__xludf.DUMMYFUNCTION("""COMPUTED_VALUE"""),"Reward")</f>
        <v>Reward</v>
      </c>
    </row>
    <row r="2">
      <c r="A2" s="114" t="str">
        <f>IFERROR(__xludf.DUMMYFUNCTION("""COMPUTED_VALUE"""),"The People's Friend")</f>
        <v>The People's Friend</v>
      </c>
      <c r="B2" s="93" t="str">
        <f>IFERROR(__xludf.DUMMYFUNCTION("""COMPUTED_VALUE"""),"Cobblestone")</f>
        <v>Cobblestone</v>
      </c>
      <c r="C2" s="114" t="str">
        <f>IFERROR(__xludf.DUMMYFUNCTION("""COMPUTED_VALUE"""),"Climb onto your shed and retreive flurry feather")</f>
        <v>Climb onto your shed and retreive flurry feather</v>
      </c>
      <c r="D2" s="114" t="str">
        <f>IFERROR(__xludf.DUMMYFUNCTION("""COMPUTED_VALUE"""),"Sleeping Hibiscus")</f>
        <v>Sleeping Hibiscus</v>
      </c>
    </row>
    <row r="3">
      <c r="A3" s="115" t="str">
        <f>IFERROR(__xludf.DUMMYFUNCTION("""COMPUTED_VALUE"""),"The Soldier and the Strategist")</f>
        <v>The Soldier and the Strategist</v>
      </c>
      <c r="B3" s="96" t="str">
        <f>IFERROR(__xludf.DUMMYFUNCTION("""COMPUTED_VALUE"""),"Heliodor")</f>
        <v>Heliodor</v>
      </c>
      <c r="C3" s="115" t="str">
        <f>IFERROR(__xludf.DUMMYFUNCTION("""COMPUTED_VALUE"""),"Find book in eastern house")</f>
        <v>Find book in eastern house</v>
      </c>
      <c r="D3" s="115" t="str">
        <f>IFERROR(__xludf.DUMMYFUNCTION("""COMPUTED_VALUE"""),"Drasilian Shilling")</f>
        <v>Drasilian Shilling</v>
      </c>
    </row>
    <row r="4">
      <c r="A4" s="114" t="str">
        <f>IFERROR(__xludf.DUMMYFUNCTION("""COMPUTED_VALUE"""),"Amelia's in a Pickle!")</f>
        <v>Amelia's in a Pickle!</v>
      </c>
      <c r="B4" s="93" t="str">
        <f>IFERROR(__xludf.DUMMYFUNCTION("""COMPUTED_VALUE"""),"Heliodor")</f>
        <v>Heliodor</v>
      </c>
      <c r="C4" s="114" t="str">
        <f>IFERROR(__xludf.DUMMYFUNCTION("""COMPUTED_VALUE"""),"Climb ladder in item shop to the roof and talk to cat")</f>
        <v>Climb ladder in item shop to the roof and talk to cat</v>
      </c>
      <c r="D4" s="114" t="str">
        <f>IFERROR(__xludf.DUMMYFUNCTION("""COMPUTED_VALUE"""),"Kitty Litter")</f>
        <v>Kitty Litter</v>
      </c>
    </row>
    <row r="5">
      <c r="A5" s="115" t="str">
        <f>IFERROR(__xludf.DUMMYFUNCTION("""COMPUTED_VALUE"""),"It Takes Two to Tango")</f>
        <v>It Takes Two to Tango</v>
      </c>
      <c r="B5" s="96" t="str">
        <f>IFERROR(__xludf.DUMMYFUNCTION("""COMPUTED_VALUE"""),"Heliodorian Foothills - Church")</f>
        <v>Heliodorian Foothills - Church</v>
      </c>
      <c r="C5" s="115" t="str">
        <f>IFERROR(__xludf.DUMMYFUNCTION("""COMPUTED_VALUE"""),"Use Pep Power Real Decoy and kill enemy with it")</f>
        <v>Use Pep Power Real Decoy and kill enemy with it</v>
      </c>
      <c r="D5" s="115" t="str">
        <f>IFERROR(__xludf.DUMMYFUNCTION("""COMPUTED_VALUE"""),"Gold Chain")</f>
        <v>Gold Chain</v>
      </c>
    </row>
    <row r="6">
      <c r="A6" s="114" t="str">
        <f>IFERROR(__xludf.DUMMYFUNCTION("""COMPUTED_VALUE"""),"Put a Ring on It")</f>
        <v>Put a Ring on It</v>
      </c>
      <c r="B6" s="93" t="str">
        <f>IFERROR(__xludf.DUMMYFUNCTION("""COMPUTED_VALUE"""),"Hotto")</f>
        <v>Hotto</v>
      </c>
      <c r="C6" s="114" t="str">
        <f>IFERROR(__xludf.DUMMYFUNCTION("""COMPUTED_VALUE"""),"Forge a Gold Ring +1")</f>
        <v>Forge a Gold Ring +1</v>
      </c>
      <c r="D6" s="114" t="str">
        <f>IFERROR(__xludf.DUMMYFUNCTION("""COMPUTED_VALUE"""),"Crucerang")</f>
        <v>Crucerang</v>
      </c>
    </row>
    <row r="7">
      <c r="A7" s="115" t="str">
        <f>IFERROR(__xludf.DUMMYFUNCTION("""COMPUTED_VALUE"""),"Smiths and Sparkly Spots")</f>
        <v>Smiths and Sparkly Spots</v>
      </c>
      <c r="B7" s="96" t="str">
        <f>IFERROR(__xludf.DUMMYFUNCTION("""COMPUTED_VALUE"""),"Hotto")</f>
        <v>Hotto</v>
      </c>
      <c r="C7" s="115" t="str">
        <f>IFERROR(__xludf.DUMMYFUNCTION("""COMPUTED_VALUE"""),"Collect Iron Ore")</f>
        <v>Collect Iron Ore</v>
      </c>
      <c r="D7" s="115" t="str">
        <f>IFERROR(__xludf.DUMMYFUNCTION("""COMPUTED_VALUE"""),"Recipe: I &lt;3 Iron Arms")</f>
        <v>Recipe: I &lt;3 Iron Arms</v>
      </c>
    </row>
    <row r="8">
      <c r="A8" s="114" t="str">
        <f>IFERROR(__xludf.DUMMYFUNCTION("""COMPUTED_VALUE"""),"A Walk on the Wild Side")</f>
        <v>A Walk on the Wild Side</v>
      </c>
      <c r="B8" s="93" t="str">
        <f>IFERROR(__xludf.DUMMYFUNCTION("""COMPUTED_VALUE"""),"Sultanate")</f>
        <v>Sultanate</v>
      </c>
      <c r="C8" s="114" t="str">
        <f>IFERROR(__xludf.DUMMYFUNCTION("""COMPUTED_VALUE"""),"Defeat a Spitzfire in Celestial Sands area with Wild Side pep")</f>
        <v>Defeat a Spitzfire in Celestial Sands area with Wild Side pep</v>
      </c>
      <c r="D8" s="114" t="str">
        <f>IFERROR(__xludf.DUMMYFUNCTION("""COMPUTED_VALUE"""),"Recipe: Furry Finery")</f>
        <v>Recipe: Furry Finery</v>
      </c>
    </row>
    <row r="9">
      <c r="A9" s="115" t="str">
        <f>IFERROR(__xludf.DUMMYFUNCTION("""COMPUTED_VALUE"""),"A Cactus Cutlet to Die For")</f>
        <v>A Cactus Cutlet to Die For</v>
      </c>
      <c r="B9" s="96" t="str">
        <f>IFERROR(__xludf.DUMMYFUNCTION("""COMPUTED_VALUE"""),"Sultanate")</f>
        <v>Sultanate</v>
      </c>
      <c r="C9" s="115" t="str">
        <f>IFERROR(__xludf.DUMMYFUNCTION("""COMPUTED_VALUE"""),"Defeat a Golden Globe, rare spawn with other cactus enemies")</f>
        <v>Defeat a Golden Globe, rare spawn with other cactus enemies</v>
      </c>
      <c r="D9" s="115" t="str">
        <f>IFERROR(__xludf.DUMMYFUNCTION("""COMPUTED_VALUE"""),"Trickster")</f>
        <v>Trickster</v>
      </c>
    </row>
    <row r="10">
      <c r="A10" s="114" t="str">
        <f>IFERROR(__xludf.DUMMYFUNCTION("""COMPUTED_VALUE"""),"A Lovely Letter")</f>
        <v>A Lovely Letter</v>
      </c>
      <c r="B10" s="93" t="str">
        <f>IFERROR(__xludf.DUMMYFUNCTION("""COMPUTED_VALUE"""),"Gallopolis")</f>
        <v>Gallopolis</v>
      </c>
      <c r="C10" s="114" t="str">
        <f>IFERROR(__xludf.DUMMYFUNCTION("""COMPUTED_VALUE"""),"Deliver letter to Gondolia, npc near the locked gate")</f>
        <v>Deliver letter to Gondolia, npc near the locked gate</v>
      </c>
      <c r="D10" s="114" t="str">
        <f>IFERROR(__xludf.DUMMYFUNCTION("""COMPUTED_VALUE"""),"Recipe: Cutting-Edge Kit")</f>
        <v>Recipe: Cutting-Edge Kit</v>
      </c>
    </row>
    <row r="11">
      <c r="A11" s="115" t="str">
        <f>IFERROR(__xludf.DUMMYFUNCTION("""COMPUTED_VALUE"""),"An Even Lovelier Letter")</f>
        <v>An Even Lovelier Letter</v>
      </c>
      <c r="B11" s="96" t="str">
        <f>IFERROR(__xludf.DUMMYFUNCTION("""COMPUTED_VALUE"""),"Gondolia")</f>
        <v>Gondolia</v>
      </c>
      <c r="C11" s="115" t="str">
        <f>IFERROR(__xludf.DUMMYFUNCTION("""COMPUTED_VALUE"""),"Deliver letter to Valentino in Puerto Valor, reading in a hut near beach")</f>
        <v>Deliver letter to Valentino in Puerto Valor, reading in a hut near beach</v>
      </c>
      <c r="D11" s="115" t="str">
        <f>IFERROR(__xludf.DUMMYFUNCTION("""COMPUTED_VALUE"""),"Mini Medal")</f>
        <v>Mini Medal</v>
      </c>
    </row>
    <row r="12">
      <c r="A12" s="114" t="str">
        <f>IFERROR(__xludf.DUMMYFUNCTION("""COMPUTED_VALUE"""),"A Path to Paradise")</f>
        <v>A Path to Paradise</v>
      </c>
      <c r="B12" s="93" t="str">
        <f>IFERROR(__xludf.DUMMYFUNCTION("""COMPUTED_VALUE"""),"Warriors Rest Inn")</f>
        <v>Warriors Rest Inn</v>
      </c>
      <c r="C12" s="114" t="str">
        <f>IFERROR(__xludf.DUMMYFUNCTION("""COMPUTED_VALUE"""),"Defeat Deadnauts at night in ruins of Zwaardsrust with Care Prayer pep")</f>
        <v>Defeat Deadnauts at night in ruins of Zwaardsrust with Care Prayer pep</v>
      </c>
      <c r="D12" s="114" t="str">
        <f>IFERROR(__xludf.DUMMYFUNCTION("""COMPUTED_VALUE"""),"Robe of Serenity")</f>
        <v>Robe of Serenity</v>
      </c>
    </row>
    <row r="13">
      <c r="A13" s="115" t="str">
        <f>IFERROR(__xludf.DUMMYFUNCTION("""COMPUTED_VALUE"""),"Skincare for the Fierce and Fabulous")</f>
        <v>Skincare for the Fierce and Fabulous</v>
      </c>
      <c r="B13" s="96" t="str">
        <f>IFERROR(__xludf.DUMMYFUNCTION("""COMPUTED_VALUE"""),"Octagonia")</f>
        <v>Octagonia</v>
      </c>
      <c r="C13" s="115" t="str">
        <f>IFERROR(__xludf.DUMMYFUNCTION("""COMPUTED_VALUE"""),"Gather mellow vera from waterfall to the northwest of Dundrasil campsite")</f>
        <v>Gather mellow vera from waterfall to the northwest of Dundrasil campsite</v>
      </c>
      <c r="D13" s="115" t="str">
        <f>IFERROR(__xludf.DUMMYFUNCTION("""COMPUTED_VALUE"""),"Recipe: The Dapper Chap")</f>
        <v>Recipe: The Dapper Chap</v>
      </c>
    </row>
    <row r="14">
      <c r="A14" s="114" t="str">
        <f>IFERROR(__xludf.DUMMYFUNCTION("""COMPUTED_VALUE"""),"The Shadow")</f>
        <v>The Shadow</v>
      </c>
      <c r="B14" s="93" t="str">
        <f>IFERROR(__xludf.DUMMYFUNCTION("""COMPUTED_VALUE"""),"Octagonia")</f>
        <v>Octagonia</v>
      </c>
      <c r="C14" s="114" t="str">
        <f>IFERROR(__xludf.DUMMYFUNCTION("""COMPUTED_VALUE"""),"Find Xero the Shadow, man in red armor in the southeast corner of Octagonia")</f>
        <v>Find Xero the Shadow, man in red armor in the southeast corner of Octagonia</v>
      </c>
      <c r="D14" s="114" t="str">
        <f>IFERROR(__xludf.DUMMYFUNCTION("""COMPUTED_VALUE"""),"Mini Medal")</f>
        <v>Mini Medal</v>
      </c>
    </row>
    <row r="15">
      <c r="A15" s="115" t="str">
        <f>IFERROR(__xludf.DUMMYFUNCTION("""COMPUTED_VALUE"""),"Anything for Love")</f>
        <v>Anything for Love</v>
      </c>
      <c r="B15" s="96" t="str">
        <f>IFERROR(__xludf.DUMMYFUNCTION("""COMPUTED_VALUE"""),"Puerto Valor")</f>
        <v>Puerto Valor</v>
      </c>
      <c r="C15" s="115" t="str">
        <f>IFERROR(__xludf.DUMMYFUNCTION("""COMPUTED_VALUE"""),"Defeat coralossus in Costa Valor and collect floral coral")</f>
        <v>Defeat coralossus in Costa Valor and collect floral coral</v>
      </c>
      <c r="D15" s="115" t="str">
        <f>IFERROR(__xludf.DUMMYFUNCTION("""COMPUTED_VALUE"""),"Recipe: Whip Roaring Success")</f>
        <v>Recipe: Whip Roaring Success</v>
      </c>
    </row>
    <row r="16">
      <c r="A16" s="114" t="str">
        <f>IFERROR(__xludf.DUMMYFUNCTION("""COMPUTED_VALUE"""),"Shiver Me Timbers")</f>
        <v>Shiver Me Timbers</v>
      </c>
      <c r="B16" s="93" t="str">
        <f>IFERROR(__xludf.DUMMYFUNCTION("""COMPUTED_VALUE"""),"Puerto Valor")</f>
        <v>Puerto Valor</v>
      </c>
      <c r="C16" s="114" t="str">
        <f>IFERROR(__xludf.DUMMYFUNCTION("""COMPUTED_VALUE"""),"Defeat pirates on Insula Australis near Gondolia")</f>
        <v>Defeat pirates on Insula Australis near Gondolia</v>
      </c>
      <c r="D16" s="114" t="str">
        <f>IFERROR(__xludf.DUMMYFUNCTION("""COMPUTED_VALUE"""),"Recipe: Sweet Stuff for Swindlers")</f>
        <v>Recipe: Sweet Stuff for Swindlers</v>
      </c>
    </row>
    <row r="17">
      <c r="A17" s="115" t="str">
        <f>IFERROR(__xludf.DUMMYFUNCTION("""COMPUTED_VALUE"""),"A Rush of Blood")</f>
        <v>A Rush of Blood</v>
      </c>
      <c r="B17" s="96" t="str">
        <f>IFERROR(__xludf.DUMMYFUNCTION("""COMPUTED_VALUE"""),"Puerto Valor")</f>
        <v>Puerto Valor</v>
      </c>
      <c r="C17" s="115" t="str">
        <f>IFERROR(__xludf.DUMMYFUNCTION("""COMPUTED_VALUE"""),"Bring a full bunny set, buy recipe at Casino")</f>
        <v>Bring a full bunny set, buy recipe at Casino</v>
      </c>
      <c r="D17" s="115" t="str">
        <f>IFERROR(__xludf.DUMMYFUNCTION("""COMPUTED_VALUE"""),"Garter")</f>
        <v>Garter</v>
      </c>
    </row>
    <row r="18">
      <c r="A18" s="114" t="str">
        <f>IFERROR(__xludf.DUMMYFUNCTION("""COMPUTED_VALUE"""),"Light It Up")</f>
        <v>Light It Up</v>
      </c>
      <c r="B18" s="93" t="str">
        <f>IFERROR(__xludf.DUMMYFUNCTION("""COMPUTED_VALUE"""),"Phnom Nonh")</f>
        <v>Phnom Nonh</v>
      </c>
      <c r="C18" s="114" t="str">
        <f>IFERROR(__xludf.DUMMYFUNCTION("""COMPUTED_VALUE"""),"Defeat Brollygagger at Champs Sauvage during rainy days for rainproof rayon")</f>
        <v>Defeat Brollygagger at Champs Sauvage during rainy days for rainproof rayon</v>
      </c>
      <c r="D18" s="114" t="str">
        <f>IFERROR(__xludf.DUMMYFUNCTION("""COMPUTED_VALUE"""),"Silver Ore x10")</f>
        <v>Silver Ore x10</v>
      </c>
    </row>
    <row r="19">
      <c r="A19" s="115" t="str">
        <f>IFERROR(__xludf.DUMMYFUNCTION("""COMPUTED_VALUE"""),"A Memorable Mystery")</f>
        <v>A Memorable Mystery</v>
      </c>
      <c r="B19" s="96" t="str">
        <f>IFERROR(__xludf.DUMMYFUNCTION("""COMPUTED_VALUE"""),"L'Academie")</f>
        <v>L'Academie</v>
      </c>
      <c r="C19" s="115" t="str">
        <f>IFERROR(__xludf.DUMMYFUNCTION("""COMPUTED_VALUE"""),"Search the northwest area of the entrance garden at night")</f>
        <v>Search the northwest area of the entrance garden at night</v>
      </c>
      <c r="D19" s="115" t="str">
        <f>IFERROR(__xludf.DUMMYFUNCTION("""COMPUTED_VALUE"""),"Belle's Bow")</f>
        <v>Belle's Bow</v>
      </c>
    </row>
    <row r="20">
      <c r="A20" s="114" t="str">
        <f>IFERROR(__xludf.DUMMYFUNCTION("""COMPUTED_VALUE"""),"Making Things Right")</f>
        <v>Making Things Right</v>
      </c>
      <c r="B20" s="93" t="str">
        <f>IFERROR(__xludf.DUMMYFUNCTION("""COMPUTED_VALUE"""),"L'Academie")</f>
        <v>L'Academie</v>
      </c>
      <c r="C20" s="114" t="str">
        <f>IFERROR(__xludf.DUMMYFUNCTION("""COMPUTED_VALUE"""),"Forge a +1 or higher Queen's Whip")</f>
        <v>Forge a +1 or higher Queen's Whip</v>
      </c>
      <c r="D20" s="114" t="str">
        <f>IFERROR(__xludf.DUMMYFUNCTION("""COMPUTED_VALUE"""),"Mini Medal x3")</f>
        <v>Mini Medal x3</v>
      </c>
    </row>
    <row r="21">
      <c r="A21" s="115" t="str">
        <f>IFERROR(__xludf.DUMMYFUNCTION("""COMPUTED_VALUE"""),"The Agony and the Ecstasy")</f>
        <v>The Agony and the Ecstasy</v>
      </c>
      <c r="B21" s="96" t="str">
        <f>IFERROR(__xludf.DUMMYFUNCTION("""COMPUTED_VALUE"""),"L'Academie")</f>
        <v>L'Academie</v>
      </c>
      <c r="C21" s="115" t="str">
        <f>IFERROR(__xludf.DUMMYFUNCTION("""COMPUTED_VALUE"""),"Read Le Mini Monde at the signpost inside Eerie Eyrie")</f>
        <v>Read Le Mini Monde at the signpost inside Eerie Eyrie</v>
      </c>
      <c r="D21" s="115" t="str">
        <f>IFERROR(__xludf.DUMMYFUNCTION("""COMPUTED_VALUE"""),"Uniform de l'Academie")</f>
        <v>Uniform de l'Academie</v>
      </c>
    </row>
    <row r="22">
      <c r="A22" s="114" t="str">
        <f>IFERROR(__xludf.DUMMYFUNCTION("""COMPUTED_VALUE"""),"My Secret Saint")</f>
        <v>My Secret Saint</v>
      </c>
      <c r="B22" s="93" t="str">
        <f>IFERROR(__xludf.DUMMYFUNCTION("""COMPUTED_VALUE"""),"Lonalulu")</f>
        <v>Lonalulu</v>
      </c>
      <c r="C22" s="114" t="str">
        <f>IFERROR(__xludf.DUMMYFUNCTION("""COMPUTED_VALUE"""),"Find at Insula Orientalis, easternmost island in the open sea")</f>
        <v>Find at Insula Orientalis, easternmost island in the open sea</v>
      </c>
      <c r="D22" s="114" t="str">
        <f>IFERROR(__xludf.DUMMYFUNCTION("""COMPUTED_VALUE"""),"Warlock")</f>
        <v>Warlock</v>
      </c>
    </row>
    <row r="23">
      <c r="A23" s="115" t="str">
        <f>IFERROR(__xludf.DUMMYFUNCTION("""COMPUTED_VALUE"""),"Up Where they Walk")</f>
        <v>Up Where they Walk</v>
      </c>
      <c r="B23" s="96" t="str">
        <f>IFERROR(__xludf.DUMMYFUNCTION("""COMPUTED_VALUE"""),"Nautica")</f>
        <v>Nautica</v>
      </c>
      <c r="C23" s="115" t="str">
        <f>IFERROR(__xludf.DUMMYFUNCTION("""COMPUTED_VALUE"""),"Find the singer in northwest Gondolia")</f>
        <v>Find the singer in northwest Gondolia</v>
      </c>
      <c r="D23" s="115" t="str">
        <f>IFERROR(__xludf.DUMMYFUNCTION("""COMPUTED_VALUE"""),"Gracos's Trident")</f>
        <v>Gracos's Trident</v>
      </c>
    </row>
    <row r="24">
      <c r="A24" s="114" t="str">
        <f>IFERROR(__xludf.DUMMYFUNCTION("""COMPUTED_VALUE"""),"A Cold Crush")</f>
        <v>A Cold Crush</v>
      </c>
      <c r="B24" s="93" t="str">
        <f>IFERROR(__xludf.DUMMYFUNCTION("""COMPUTED_VALUE"""),"Sniflheim")</f>
        <v>Sniflheim</v>
      </c>
      <c r="C24" s="114" t="str">
        <f>IFERROR(__xludf.DUMMYFUNCTION("""COMPUTED_VALUE"""),"Find a Snaerose in the moonshaped inlet in the south of The Snaerfelt")</f>
        <v>Find a Snaerose in the moonshaped inlet in the south of The Snaerfelt</v>
      </c>
      <c r="D24" s="114" t="str">
        <f>IFERROR(__xludf.DUMMYFUNCTION("""COMPUTED_VALUE"""),"Recipe: That's Magic")</f>
        <v>Recipe: That's Magic</v>
      </c>
    </row>
    <row r="25">
      <c r="A25" s="115" t="str">
        <f>IFERROR(__xludf.DUMMYFUNCTION("""COMPUTED_VALUE"""),"The Viking Hoard")</f>
        <v>The Viking Hoard</v>
      </c>
      <c r="B25" s="96" t="str">
        <f>IFERROR(__xludf.DUMMYFUNCTION("""COMPUTED_VALUE"""),"Sniflheim")</f>
        <v>Sniflheim</v>
      </c>
      <c r="C25" s="115" t="str">
        <f>IFERROR(__xludf.DUMMYFUNCTION("""COMPUTED_VALUE"""),"Talk to vikings about missing brother, find at northern island Insula Borealis")</f>
        <v>Talk to vikings about missing brother, find at northern island Insula Borealis</v>
      </c>
      <c r="D25" s="115" t="str">
        <f>IFERROR(__xludf.DUMMYFUNCTION("""COMPUTED_VALUE"""),"Pirate's Hat")</f>
        <v>Pirate's Hat</v>
      </c>
    </row>
    <row r="26">
      <c r="A26" s="114" t="str">
        <f>IFERROR(__xludf.DUMMYFUNCTION("""COMPUTED_VALUE"""),"Planting Seeds for the Future")</f>
        <v>Planting Seeds for the Future</v>
      </c>
      <c r="B26" s="93" t="str">
        <f>IFERROR(__xludf.DUMMYFUNCTION("""COMPUTED_VALUE"""),"Arboria")</f>
        <v>Arboria</v>
      </c>
      <c r="C26" s="114" t="str">
        <f>IFERROR(__xludf.DUMMYFUNCTION("""COMPUTED_VALUE"""),"Defeat Wight Bulb in First Forest from Sprite Bulb battle")</f>
        <v>Defeat Wight Bulb in First Forest from Sprite Bulb battle</v>
      </c>
      <c r="D26" s="114" t="str">
        <f>IFERROR(__xludf.DUMMYFUNCTION("""COMPUTED_VALUE"""),"Healer")</f>
        <v>Healer</v>
      </c>
    </row>
    <row r="27">
      <c r="A27" s="115" t="str">
        <f>IFERROR(__xludf.DUMMYFUNCTION("""COMPUTED_VALUE"""),"Fit as a Fiddle")</f>
        <v>Fit as a Fiddle</v>
      </c>
      <c r="B27" s="96" t="str">
        <f>IFERROR(__xludf.DUMMYFUNCTION("""COMPUTED_VALUE"""),"Arboria")</f>
        <v>Arboria</v>
      </c>
      <c r="C27" s="115" t="str">
        <f>IFERROR(__xludf.DUMMYFUNCTION("""COMPUTED_VALUE"""),"Red Kale from First Forest, golden sparkly near the top")</f>
        <v>Red Kale from First Forest, golden sparkly near the top</v>
      </c>
      <c r="D27" s="115" t="str">
        <f>IFERROR(__xludf.DUMMYFUNCTION("""COMPUTED_VALUE"""),"Butterfly Baton")</f>
        <v>Butterfly Baton</v>
      </c>
    </row>
    <row r="28">
      <c r="A28" s="116" t="str">
        <f>IFERROR(__xludf.DUMMYFUNCTION("""COMPUTED_VALUE"""),"Part 2")</f>
        <v>Part 2</v>
      </c>
      <c r="B28" s="7"/>
      <c r="C28" s="7"/>
      <c r="D28" s="8"/>
    </row>
    <row r="29">
      <c r="A29" s="115" t="str">
        <f>IFERROR(__xludf.DUMMYFUNCTION("""COMPUTED_VALUE"""),"Worth Its Salt")</f>
        <v>Worth Its Salt</v>
      </c>
      <c r="B29" s="96" t="str">
        <f>IFERROR(__xludf.DUMMYFUNCTION("""COMPUTED_VALUE"""),"Phnom Nonh")</f>
        <v>Phnom Nonh</v>
      </c>
      <c r="C29" s="115" t="str">
        <f>IFERROR(__xludf.DUMMYFUNCTION("""COMPUTED_VALUE"""),"Grotta della Fonte in Laguna di Gondolia Waterfall entrance")</f>
        <v>Grotta della Fonte in Laguna di Gondolia Waterfall entrance</v>
      </c>
      <c r="D29" s="115" t="str">
        <f>IFERROR(__xludf.DUMMYFUNCTION("""COMPUTED_VALUE"""),"Mythril Ore x10")</f>
        <v>Mythril Ore x10</v>
      </c>
    </row>
    <row r="30">
      <c r="A30" s="114" t="str">
        <f>IFERROR(__xludf.DUMMYFUNCTION("""COMPUTED_VALUE"""),"A Right Riddle")</f>
        <v>A Right Riddle</v>
      </c>
      <c r="B30" s="93" t="str">
        <f>IFERROR(__xludf.DUMMYFUNCTION("""COMPUTED_VALUE"""),"L'Academie")</f>
        <v>L'Academie</v>
      </c>
      <c r="C30" s="114" t="str">
        <f>IFERROR(__xludf.DUMMYFUNCTION("""COMPUTED_VALUE"""),"Equip Steel Broadsword, Fizzle Foil sword")</f>
        <v>Equip Steel Broadsword, Fizzle Foil sword</v>
      </c>
      <c r="D30" s="114" t="str">
        <f>IFERROR(__xludf.DUMMYFUNCTION("""COMPUTED_VALUE"""),"Mini Medal x5")</f>
        <v>Mini Medal x5</v>
      </c>
    </row>
    <row r="31">
      <c r="A31" s="115" t="str">
        <f>IFERROR(__xludf.DUMMYFUNCTION("""COMPUTED_VALUE"""),"The Measure of a Man")</f>
        <v>The Measure of a Man</v>
      </c>
      <c r="B31" s="96" t="str">
        <f>IFERROR(__xludf.DUMMYFUNCTION("""COMPUTED_VALUE"""),"Lonalulu")</f>
        <v>Lonalulu</v>
      </c>
      <c r="C31" s="115" t="str">
        <f>IFERROR(__xludf.DUMMYFUNCTION("""COMPUTED_VALUE"""),"Defeat Night Clubber with Pep BuffBuff")</f>
        <v>Defeat Night Clubber with Pep BuffBuff</v>
      </c>
      <c r="D31" s="115" t="str">
        <f>IFERROR(__xludf.DUMMYFUNCTION("""COMPUTED_VALUE"""),"Venus' Tear")</f>
        <v>Venus' Tear</v>
      </c>
    </row>
    <row r="32">
      <c r="A32" s="114" t="str">
        <f>IFERROR(__xludf.DUMMYFUNCTION("""COMPUTED_VALUE"""),"Understanding Angri-La")</f>
        <v>Understanding Angri-La</v>
      </c>
      <c r="B32" s="93" t="str">
        <f>IFERROR(__xludf.DUMMYFUNCTION("""COMPUTED_VALUE"""),"Angri-La")</f>
        <v>Angri-La</v>
      </c>
      <c r="C32" s="114" t="str">
        <f>IFERROR(__xludf.DUMMYFUNCTION("""COMPUTED_VALUE"""),"Defeat Boreal Serpent on Mount Pang Lai with Pep Blaze of Glory ")</f>
        <v>Defeat Boreal Serpent on Mount Pang Lai with Pep Blaze of Glory </v>
      </c>
      <c r="D32" s="114" t="str">
        <f>IFERROR(__xludf.DUMMYFUNCTION("""COMPUTED_VALUE"""),"Mystic")</f>
        <v>Mystic</v>
      </c>
    </row>
    <row r="33">
      <c r="A33" s="115" t="str">
        <f>IFERROR(__xludf.DUMMYFUNCTION("""COMPUTED_VALUE"""),"Wken Knight Falls")</f>
        <v>Wken Knight Falls</v>
      </c>
      <c r="B33" s="96" t="str">
        <f>IFERROR(__xludf.DUMMYFUNCTION("""COMPUTED_VALUE"""),"Puerto Valor")</f>
        <v>Puerto Valor</v>
      </c>
      <c r="C33" s="115" t="str">
        <f>IFERROR(__xludf.DUMMYFUNCTION("""COMPUTED_VALUE"""),"Defeat with Arise pep at Eerie Eyrie")</f>
        <v>Defeat with Arise pep at Eerie Eyrie</v>
      </c>
      <c r="D33" s="115" t="str">
        <f>IFERROR(__xludf.DUMMYFUNCTION("""COMPUTED_VALUE"""),"Metal Slime Shield")</f>
        <v>Metal Slime Shield</v>
      </c>
    </row>
    <row r="34">
      <c r="A34" s="114" t="str">
        <f>IFERROR(__xludf.DUMMYFUNCTION("""COMPUTED_VALUE"""),"One Last Request")</f>
        <v>One Last Request</v>
      </c>
      <c r="B34" s="93" t="str">
        <f>IFERROR(__xludf.DUMMYFUNCTION("""COMPUTED_VALUE"""),"L'Academie")</f>
        <v>L'Academie</v>
      </c>
      <c r="C34" s="114" t="str">
        <f>IFERROR(__xludf.DUMMYFUNCTION("""COMPUTED_VALUE"""),"Grave southeast of Warriors Rest Inn in the field")</f>
        <v>Grave southeast of Warriors Rest Inn in the field</v>
      </c>
      <c r="D34" s="114" t="str">
        <f>IFERROR(__xludf.DUMMYFUNCTION("""COMPUTED_VALUE"""),"Chronocrystal")</f>
        <v>Chronocrystal</v>
      </c>
    </row>
    <row r="35">
      <c r="A35" s="115" t="str">
        <f>IFERROR(__xludf.DUMMYFUNCTION("""COMPUTED_VALUE"""),"A Delayed Diploma")</f>
        <v>A Delayed Diploma</v>
      </c>
      <c r="B35" s="96" t="str">
        <f>IFERROR(__xludf.DUMMYFUNCTION("""COMPUTED_VALUE"""),"L'Academie")</f>
        <v>L'Academie</v>
      </c>
      <c r="C35" s="115" t="str">
        <f>IFERROR(__xludf.DUMMYFUNCTION("""COMPUTED_VALUE"""),"Deliver to Liliane in Sniflheim, 2nd floor of weapon shop")</f>
        <v>Deliver to Liliane in Sniflheim, 2nd floor of weapon shop</v>
      </c>
      <c r="D35" s="115" t="str">
        <f>IFERROR(__xludf.DUMMYFUNCTION("""COMPUTED_VALUE"""),"Recipe: Gear That Glitters")</f>
        <v>Recipe: Gear That Glitters</v>
      </c>
    </row>
    <row r="36">
      <c r="A36" s="114" t="str">
        <f>IFERROR(__xludf.DUMMYFUNCTION("""COMPUTED_VALUE"""),"Madamn Labouche's Life Lesson")</f>
        <v>Madamn Labouche's Life Lesson</v>
      </c>
      <c r="B36" s="93" t="str">
        <f>IFERROR(__xludf.DUMMYFUNCTION("""COMPUTED_VALUE"""),"L'Academie")</f>
        <v>L'Academie</v>
      </c>
      <c r="C36" s="114" t="str">
        <f>IFERROR(__xludf.DUMMYFUNCTION("""COMPUTED_VALUE"""),"Charm 331 or higher on hero, use Mardi Garb+3")</f>
        <v>Charm 331 or higher on hero, use Mardi Garb+3</v>
      </c>
      <c r="D36" s="114" t="str">
        <f>IFERROR(__xludf.DUMMYFUNCTION("""COMPUTED_VALUE"""),"Recipe: Glam Gear for Go-Getters")</f>
        <v>Recipe: Glam Gear for Go-Getters</v>
      </c>
    </row>
    <row r="37">
      <c r="A37" s="115" t="str">
        <f>IFERROR(__xludf.DUMMYFUNCTION("""COMPUTED_VALUE"""),"A Fragrant Fille")</f>
        <v>A Fragrant Fille</v>
      </c>
      <c r="B37" s="96" t="str">
        <f>IFERROR(__xludf.DUMMYFUNCTION("""COMPUTED_VALUE"""),"L'Academie")</f>
        <v>L'Academie</v>
      </c>
      <c r="C37" s="115" t="str">
        <f>IFERROR(__xludf.DUMMYFUNCTION("""COMPUTED_VALUE"""),"Get perfume from Zombie dad in Cryptic Crypts boss room")</f>
        <v>Get perfume from Zombie dad in Cryptic Crypts boss room</v>
      </c>
      <c r="D37" s="115" t="str">
        <f>IFERROR(__xludf.DUMMYFUNCTION("""COMPUTED_VALUE"""),"Hades Helm")</f>
        <v>Hades Helm</v>
      </c>
    </row>
    <row r="38">
      <c r="A38" s="114" t="str">
        <f>IFERROR(__xludf.DUMMYFUNCTION("""COMPUTED_VALUE"""),"Some Like it Hotto")</f>
        <v>Some Like it Hotto</v>
      </c>
      <c r="B38" s="93" t="str">
        <f>IFERROR(__xludf.DUMMYFUNCTION("""COMPUTED_VALUE"""),"Hotto")</f>
        <v>Hotto</v>
      </c>
      <c r="C38" s="114" t="str">
        <f>IFERROR(__xludf.DUMMYFUNCTION("""COMPUTED_VALUE"""),"Defeat Lantern in Volcano")</f>
        <v>Defeat Lantern in Volcano</v>
      </c>
      <c r="D38" s="114" t="str">
        <f>IFERROR(__xludf.DUMMYFUNCTION("""COMPUTED_VALUE"""),"Goobricant")</f>
        <v>Goobricant</v>
      </c>
    </row>
    <row r="39">
      <c r="A39" s="115" t="str">
        <f>IFERROR(__xludf.DUMMYFUNCTION("""COMPUTED_VALUE"""),"A Rose Arose Wehre No Rose Grows")</f>
        <v>A Rose Arose Wehre No Rose Grows</v>
      </c>
      <c r="B39" s="96" t="str">
        <f>IFERROR(__xludf.DUMMYFUNCTION("""COMPUTED_VALUE"""),"Gondolia")</f>
        <v>Gondolia</v>
      </c>
      <c r="C39" s="115" t="str">
        <f>IFERROR(__xludf.DUMMYFUNCTION("""COMPUTED_VALUE"""),"Flower in Gallopolis Region southern dead end")</f>
        <v>Flower in Gallopolis Region southern dead end</v>
      </c>
      <c r="D39" s="115" t="str">
        <f>IFERROR(__xludf.DUMMYFUNCTION("""COMPUTED_VALUE"""),"Happy Hat")</f>
        <v>Happy Hat</v>
      </c>
    </row>
    <row r="40">
      <c r="A40" s="114" t="str">
        <f>IFERROR(__xludf.DUMMYFUNCTION("""COMPUTED_VALUE"""),"The Search for the Sage's Stone")</f>
        <v>The Search for the Sage's Stone</v>
      </c>
      <c r="B40" s="93" t="str">
        <f>IFERROR(__xludf.DUMMYFUNCTION("""COMPUTED_VALUE"""),"Gondolia")</f>
        <v>Gondolia</v>
      </c>
      <c r="C40" s="114" t="str">
        <f>IFERROR(__xludf.DUMMYFUNCTION("""COMPUTED_VALUE"""),"Nautica, turn into a fish, look south and above the item shop")</f>
        <v>Nautica, turn into a fish, look south and above the item shop</v>
      </c>
      <c r="D40" s="114" t="str">
        <f>IFERROR(__xludf.DUMMYFUNCTION("""COMPUTED_VALUE"""),"Making the Most of Mythril")</f>
        <v>Making the Most of Mythril</v>
      </c>
    </row>
    <row r="41">
      <c r="A41" s="115" t="str">
        <f>IFERROR(__xludf.DUMMYFUNCTION("""COMPUTED_VALUE"""),"Soothing Seaweed")</f>
        <v>Soothing Seaweed</v>
      </c>
      <c r="B41" s="96" t="str">
        <f>IFERROR(__xludf.DUMMYFUNCTION("""COMPUTED_VALUE"""),"Lonalulu")</f>
        <v>Lonalulu</v>
      </c>
      <c r="C41" s="115" t="str">
        <f>IFERROR(__xludf.DUMMYFUNCTION("""COMPUTED_VALUE"""),"Dulcet Dulse from fisherman on island southeast of Sniflheim")</f>
        <v>Dulcet Dulse from fisherman on island southeast of Sniflheim</v>
      </c>
      <c r="D41" s="115" t="str">
        <f>IFERROR(__xludf.DUMMYFUNCTION("""COMPUTED_VALUE"""),"Molten Globule x5")</f>
        <v>Molten Globule x5</v>
      </c>
    </row>
    <row r="42">
      <c r="A42" s="114" t="str">
        <f>IFERROR(__xludf.DUMMYFUNCTION("""COMPUTED_VALUE"""),"My Kingdom for Some Kanaloamari")</f>
        <v>My Kingdom for Some Kanaloamari</v>
      </c>
      <c r="B42" s="93" t="str">
        <f>IFERROR(__xludf.DUMMYFUNCTION("""COMPUTED_VALUE"""),"Lonalulu")</f>
        <v>Lonalulu</v>
      </c>
      <c r="C42" s="114" t="str">
        <f>IFERROR(__xludf.DUMMYFUNCTION("""COMPUTED_VALUE"""),"Defeat Tentacular in northern seas with Pep Tempered Tantrum")</f>
        <v>Defeat Tentacular in northern seas with Pep Tempered Tantrum</v>
      </c>
      <c r="D42" s="114" t="str">
        <f>IFERROR(__xludf.DUMMYFUNCTION("""COMPUTED_VALUE"""),"Pentarang")</f>
        <v>Pentarang</v>
      </c>
    </row>
    <row r="43">
      <c r="A43" s="115" t="str">
        <f>IFERROR(__xludf.DUMMYFUNCTION("""COMPUTED_VALUE"""),"A Little Bit of Lantern")</f>
        <v>A Little Bit of Lantern</v>
      </c>
      <c r="B43" s="96" t="str">
        <f>IFERROR(__xludf.DUMMYFUNCTION("""COMPUTED_VALUE"""),"Gallopolis")</f>
        <v>Gallopolis</v>
      </c>
      <c r="C43" s="115" t="str">
        <f>IFERROR(__xludf.DUMMYFUNCTION("""COMPUTED_VALUE"""),"Pernicious Peninsula at the end of Celestial Sands")</f>
        <v>Pernicious Peninsula at the end of Celestial Sands</v>
      </c>
      <c r="D43" s="115" t="str">
        <f>IFERROR(__xludf.DUMMYFUNCTION("""COMPUTED_VALUE"""),"Agate of Evolution x3")</f>
        <v>Agate of Evolution x3</v>
      </c>
    </row>
    <row r="44">
      <c r="A44" s="114" t="str">
        <f>IFERROR(__xludf.DUMMYFUNCTION("""COMPUTED_VALUE"""),"Ballad of Bravery")</f>
        <v>Ballad of Bravery</v>
      </c>
      <c r="B44" s="93" t="str">
        <f>IFERROR(__xludf.DUMMYFUNCTION("""COMPUTED_VALUE"""),"Warrior's Rest Inn")</f>
        <v>Warrior's Rest Inn</v>
      </c>
      <c r="C44" s="114" t="str">
        <f>IFERROR(__xludf.DUMMYFUNCTION("""COMPUTED_VALUE"""),"Hut in the southwest of Dundrasil")</f>
        <v>Hut in the southwest of Dundrasil</v>
      </c>
      <c r="D44" s="114" t="str">
        <f>IFERROR(__xludf.DUMMYFUNCTION("""COMPUTED_VALUE"""),"Recipe: Fine Fashions for Philosophers")</f>
        <v>Recipe: Fine Fashions for Philosophers</v>
      </c>
    </row>
    <row r="45">
      <c r="A45" s="115" t="str">
        <f>IFERROR(__xludf.DUMMYFUNCTION("""COMPUTED_VALUE"""),"Richie's Hard Rock Roulette Challenge")</f>
        <v>Richie's Hard Rock Roulette Challenge</v>
      </c>
      <c r="B45" s="96" t="str">
        <f>IFERROR(__xludf.DUMMYFUNCTION("""COMPUTED_VALUE"""),"Octagonia")</f>
        <v>Octagonia</v>
      </c>
      <c r="C45" s="115" t="str">
        <f>IFERROR(__xludf.DUMMYFUNCTION("""COMPUTED_VALUE"""),"Talk to girl outside Casino to make quest availabe.  Then hit roulette jackpot")</f>
        <v>Talk to girl outside Casino to make quest availabe.  Then hit roulette jackpot</v>
      </c>
      <c r="D45" s="115" t="str">
        <f>IFERROR(__xludf.DUMMYFUNCTION("""COMPUTED_VALUE"""),"Vest for Success")</f>
        <v>Vest for Success</v>
      </c>
    </row>
    <row r="46">
      <c r="A46" s="114" t="str">
        <f>IFERROR(__xludf.DUMMYFUNCTION("""COMPUTED_VALUE"""),"Marking a Momentous Occasion")</f>
        <v>Marking a Momentous Occasion</v>
      </c>
      <c r="B46" s="93" t="str">
        <f>IFERROR(__xludf.DUMMYFUNCTION("""COMPUTED_VALUE"""),"Nautica")</f>
        <v>Nautica</v>
      </c>
      <c r="C46" s="114" t="str">
        <f>IFERROR(__xludf.DUMMYFUNCTION("""COMPUTED_VALUE"""),"Legless Squid from Lonalulu Cannon Lady on east side of town")</f>
        <v>Legless Squid from Lonalulu Cannon Lady on east side of town</v>
      </c>
      <c r="D46" s="114" t="str">
        <f>IFERROR(__xludf.DUMMYFUNCTION("""COMPUTED_VALUE"""),"Recipe: Secrets of the Sunken Spirit")</f>
        <v>Recipe: Secrets of the Sunken Spirit</v>
      </c>
    </row>
    <row r="47">
      <c r="A47" s="115" t="str">
        <f>IFERROR(__xludf.DUMMYFUNCTION("""COMPUTED_VALUE"""),"Justice is Brined")</f>
        <v>Justice is Brined</v>
      </c>
      <c r="B47" s="96" t="str">
        <f>IFERROR(__xludf.DUMMYFUNCTION("""COMPUTED_VALUE"""),"Nautica")</f>
        <v>Nautica</v>
      </c>
      <c r="C47" s="115" t="str">
        <f>IFERROR(__xludf.DUMMYFUNCTION("""COMPUTED_VALUE"""),"Cabin on island north of The Strand")</f>
        <v>Cabin on island north of The Strand</v>
      </c>
      <c r="D47" s="115" t="str">
        <f>IFERROR(__xludf.DUMMYFUNCTION("""COMPUTED_VALUE"""),"Sovereign Seal")</f>
        <v>Sovereign Seal</v>
      </c>
    </row>
    <row r="48">
      <c r="A48" s="114" t="str">
        <f>IFERROR(__xludf.DUMMYFUNCTION("""COMPUTED_VALUE"""),"A Dish Served Cold")</f>
        <v>A Dish Served Cold</v>
      </c>
      <c r="B48" s="93" t="str">
        <f>IFERROR(__xludf.DUMMYFUNCTION("""COMPUTED_VALUE"""),"Snaerfelt")</f>
        <v>Snaerfelt</v>
      </c>
      <c r="C48" s="114" t="str">
        <f>IFERROR(__xludf.DUMMYFUNCTION("""COMPUTED_VALUE"""),"Defeat Type G0, rare spawn with robot enemies")</f>
        <v>Defeat Type G0, rare spawn with robot enemies</v>
      </c>
      <c r="D48" s="114" t="str">
        <f>IFERROR(__xludf.DUMMYFUNCTION("""COMPUTED_VALUE"""),"Metal Slime Armour")</f>
        <v>Metal Slime Armour</v>
      </c>
    </row>
    <row r="49">
      <c r="A49" s="115" t="str">
        <f>IFERROR(__xludf.DUMMYFUNCTION("""COMPUTED_VALUE"""),"A Long-Lost Literary Love")</f>
        <v>A Long-Lost Literary Love</v>
      </c>
      <c r="B49" s="96" t="str">
        <f>IFERROR(__xludf.DUMMYFUNCTION("""COMPUTED_VALUE"""),"Arboria")</f>
        <v>Arboria</v>
      </c>
      <c r="C49" s="115" t="str">
        <f>IFERROR(__xludf.DUMMYFUNCTION("""COMPUTED_VALUE"""),"Talk to butler in Gallopolis house near palace, then woodcutter's cabin in Manglegrove")</f>
        <v>Talk to butler in Gallopolis house near palace, then woodcutter's cabin in Manglegrove</v>
      </c>
      <c r="D49" s="115" t="str">
        <f>IFERROR(__xludf.DUMMYFUNCTION("""COMPUTED_VALUE"""),"Recipe: Things to do with Metal Goo")</f>
        <v>Recipe: Things to do with Metal Goo</v>
      </c>
    </row>
    <row r="50">
      <c r="A50" s="116" t="str">
        <f>IFERROR(__xludf.DUMMYFUNCTION("""COMPUTED_VALUE"""),"Postgame")</f>
        <v>Postgame</v>
      </c>
      <c r="B50" s="7"/>
      <c r="C50" s="7"/>
      <c r="D50" s="8"/>
    </row>
    <row r="51">
      <c r="A51" s="115" t="str">
        <f>IFERROR(__xludf.DUMMYFUNCTION("""COMPUTED_VALUE"""),"Pointless Pride")</f>
        <v>Pointless Pride</v>
      </c>
      <c r="B51" s="96" t="str">
        <f>IFERROR(__xludf.DUMMYFUNCTION("""COMPUTED_VALUE"""),"Angri-La")</f>
        <v>Angri-La</v>
      </c>
      <c r="C51" s="115" t="str">
        <f>IFERROR(__xludf.DUMMYFUNCTION("""COMPUTED_VALUE"""),"Legate Blade+3, Recipe from Wheel of Harma: Final Trial")</f>
        <v>Legate Blade+3, Recipe from Wheel of Harma: Final Trial</v>
      </c>
      <c r="D51" s="115" t="str">
        <f>IFERROR(__xludf.DUMMYFUNCTION("""COMPUTED_VALUE"""),"Seed of Skill x10")</f>
        <v>Seed of Skill x10</v>
      </c>
    </row>
    <row r="52">
      <c r="A52" s="114" t="str">
        <f>IFERROR(__xludf.DUMMYFUNCTION("""COMPUTED_VALUE"""),"Sweet Dreams")</f>
        <v>Sweet Dreams</v>
      </c>
      <c r="B52" s="93" t="str">
        <f>IFERROR(__xludf.DUMMYFUNCTION("""COMPUTED_VALUE"""),"Phnom Nonh")</f>
        <v>Phnom Nonh</v>
      </c>
      <c r="C52" s="114" t="str">
        <f>IFERROR(__xludf.DUMMYFUNCTION("""COMPUTED_VALUE"""),"Defeat Bongo Bango monster in Champs Sauvage with Snooze n Bruise Pep")</f>
        <v>Defeat Bongo Bango monster in Champs Sauvage with Snooze n Bruise Pep</v>
      </c>
      <c r="D52" s="114" t="str">
        <f>IFERROR(__xludf.DUMMYFUNCTION("""COMPUTED_VALUE"""),"Mini Medal x5")</f>
        <v>Mini Medal x5</v>
      </c>
    </row>
    <row r="53">
      <c r="A53" s="115" t="str">
        <f>IFERROR(__xludf.DUMMYFUNCTION("""COMPUTED_VALUE"""),"Mister Vista")</f>
        <v>Mister Vista</v>
      </c>
      <c r="B53" s="96" t="str">
        <f>IFERROR(__xludf.DUMMYFUNCTION("""COMPUTED_VALUE"""),"Cobblestone Tor")</f>
        <v>Cobblestone Tor</v>
      </c>
      <c r="C53" s="115" t="str">
        <f>IFERROR(__xludf.DUMMYFUNCTION("""COMPUTED_VALUE"""),"Insula Centralis, island near Zwaarsdust, fly to highest point")</f>
        <v>Insula Centralis, island near Zwaarsdust, fly to highest point</v>
      </c>
      <c r="D53" s="115" t="str">
        <f>IFERROR(__xludf.DUMMYFUNCTION("""COMPUTED_VALUE"""),"Fantastick")</f>
        <v>Fantastick</v>
      </c>
    </row>
    <row r="54">
      <c r="A54" s="114" t="str">
        <f>IFERROR(__xludf.DUMMYFUNCTION("""COMPUTED_VALUE"""),"Might is Right")</f>
        <v>Might is Right</v>
      </c>
      <c r="B54" s="93" t="str">
        <f>IFERROR(__xludf.DUMMYFUNCTION("""COMPUTED_VALUE"""),"Heliodor Square")</f>
        <v>Heliodor Square</v>
      </c>
      <c r="C54" s="114" t="str">
        <f>IFERROR(__xludf.DUMMYFUNCTION("""COMPUTED_VALUE"""),"South Hotto Steppe Whale Way, rare spawn with the flying axe demons")</f>
        <v>South Hotto Steppe Whale Way, rare spawn with the flying axe demons</v>
      </c>
      <c r="D54" s="114" t="str">
        <f>IFERROR(__xludf.DUMMYFUNCTION("""COMPUTED_VALUE"""),"Apollo's Axe")</f>
        <v>Apollo's Axe</v>
      </c>
    </row>
    <row r="55">
      <c r="A55" s="115" t="str">
        <f>IFERROR(__xludf.DUMMYFUNCTION("""COMPUTED_VALUE"""),"Mistress Bev's Perfect Prediction")</f>
        <v>Mistress Bev's Perfect Prediction</v>
      </c>
      <c r="B55" s="96" t="str">
        <f>IFERROR(__xludf.DUMMYFUNCTION("""COMPUTED_VALUE"""),"Heliodor Downtown")</f>
        <v>Heliodor Downtown</v>
      </c>
      <c r="C55" s="115" t="str">
        <f>IFERROR(__xludf.DUMMYFUNCTION("""COMPUTED_VALUE"""),"Divine Dew to the north of First Forest summit campsite")</f>
        <v>Divine Dew to the north of First Forest summit campsite</v>
      </c>
      <c r="D55" s="115" t="str">
        <f>IFERROR(__xludf.DUMMYFUNCTION("""COMPUTED_VALUE"""),"Pep Pop")</f>
        <v>Pep Pop</v>
      </c>
    </row>
    <row r="56">
      <c r="A56" s="114" t="str">
        <f>IFERROR(__xludf.DUMMYFUNCTION("""COMPUTED_VALUE"""),"Now You See Me...")</f>
        <v>Now You See Me...</v>
      </c>
      <c r="B56" s="93" t="str">
        <f>IFERROR(__xludf.DUMMYFUNCTION("""COMPUTED_VALUE"""),"Heliodor Downtown")</f>
        <v>Heliodor Downtown</v>
      </c>
      <c r="C56" s="114" t="str">
        <f>IFERROR(__xludf.DUMMYFUNCTION("""COMPUTED_VALUE"""),"Find Xero in l'Academie Magic Key room")</f>
        <v>Find Xero in l'Academie Magic Key room</v>
      </c>
      <c r="D56" s="114" t="str">
        <f>IFERROR(__xludf.DUMMYFUNCTION("""COMPUTED_VALUE"""),"10 mini medal")</f>
        <v>10 mini medal</v>
      </c>
    </row>
    <row r="57">
      <c r="A57" s="115" t="str">
        <f>IFERROR(__xludf.DUMMYFUNCTION("""COMPUTED_VALUE"""),"The Legendary Treasure of Legend")</f>
        <v>The Legendary Treasure of Legend</v>
      </c>
      <c r="B57" s="96" t="str">
        <f>IFERROR(__xludf.DUMMYFUNCTION("""COMPUTED_VALUE"""),"Hotto")</f>
        <v>Hotto</v>
      </c>
      <c r="C57" s="115" t="str">
        <f>IFERROR(__xludf.DUMMYFUNCTION("""COMPUTED_VALUE"""),"Mt Huji Secret Entrance, near the overlook to the boss area")</f>
        <v>Mt Huji Secret Entrance, near the overlook to the boss area</v>
      </c>
      <c r="D57" s="115" t="str">
        <f>IFERROR(__xludf.DUMMYFUNCTION("""COMPUTED_VALUE"""),"Uber Agate of Evolution x3")</f>
        <v>Uber Agate of Evolution x3</v>
      </c>
    </row>
    <row r="58">
      <c r="A58" s="114" t="str">
        <f>IFERROR(__xludf.DUMMYFUNCTION("""COMPUTED_VALUE"""),"Perfectly Pepped Paladins")</f>
        <v>Perfectly Pepped Paladins</v>
      </c>
      <c r="B58" s="93" t="str">
        <f>IFERROR(__xludf.DUMMYFUNCTION("""COMPUTED_VALUE"""),"Gallopolis Palace")</f>
        <v>Gallopolis Palace</v>
      </c>
      <c r="C58" s="114" t="str">
        <f>IFERROR(__xludf.DUMMYFUNCTION("""COMPUTED_VALUE"""),"Pepper branch at First Forest Whale Way station, near big tree at dead end")</f>
        <v>Pepper branch at First Forest Whale Way station, near big tree at dead end</v>
      </c>
      <c r="D58" s="114" t="str">
        <f>IFERROR(__xludf.DUMMYFUNCTION("""COMPUTED_VALUE"""),"Pep Pip x4")</f>
        <v>Pep Pip x4</v>
      </c>
    </row>
    <row r="59">
      <c r="A59" s="115" t="str">
        <f>IFERROR(__xludf.DUMMYFUNCTION("""COMPUTED_VALUE"""),"A Little Kindness Goes a Long Way")</f>
        <v>A Little Kindness Goes a Long Way</v>
      </c>
      <c r="B59" s="96" t="str">
        <f>IFERROR(__xludf.DUMMYFUNCTION("""COMPUTED_VALUE"""),"Lonalulu")</f>
        <v>Lonalulu</v>
      </c>
      <c r="C59" s="115" t="str">
        <f>IFERROR(__xludf.DUMMYFUNCTION("""COMPUTED_VALUE"""),"Crystal Lily at Sniflheim Whale Way station")</f>
        <v>Crystal Lily at Sniflheim Whale Way station</v>
      </c>
      <c r="D59" s="115" t="str">
        <f>IFERROR(__xludf.DUMMYFUNCTION("""COMPUTED_VALUE"""),"Slime Crown x3")</f>
        <v>Slime Crown x3</v>
      </c>
    </row>
    <row r="60">
      <c r="A60" s="114" t="str">
        <f>IFERROR(__xludf.DUMMYFUNCTION("""COMPUTED_VALUE"""),"Morcant's Mastery of Magic")</f>
        <v>Morcant's Mastery of Magic</v>
      </c>
      <c r="B60" s="93" t="str">
        <f>IFERROR(__xludf.DUMMYFUNCTION("""COMPUTED_VALUE"""),"Angri-La")</f>
        <v>Angri-La</v>
      </c>
      <c r="C60" s="114" t="str">
        <f>IFERROR(__xludf.DUMMYFUNCTION("""COMPUTED_VALUE"""),"Three bookshelves in Ancient Library")</f>
        <v>Three bookshelves in Ancient Library</v>
      </c>
      <c r="D60" s="114" t="str">
        <f>IFERROR(__xludf.DUMMYFUNCTION("""COMPUTED_VALUE"""),"Rab +50 Magical Might and Mending")</f>
        <v>Rab +50 Magical Might and Mending</v>
      </c>
    </row>
    <row r="61">
      <c r="A61" s="115" t="str">
        <f>IFERROR(__xludf.DUMMYFUNCTION("""COMPUTED_VALUE"""),"The Holiest of Harps")</f>
        <v>The Holiest of Harps</v>
      </c>
      <c r="B61" s="96" t="str">
        <f>IFERROR(__xludf.DUMMYFUNCTION("""COMPUTED_VALUE"""),"Havens Above")</f>
        <v>Havens Above</v>
      </c>
      <c r="C61" s="115" t="str">
        <f>IFERROR(__xludf.DUMMYFUNCTION("""COMPUTED_VALUE"""),"Defeat Crystalotl in The Battleground, accessed by Ultimate Key")</f>
        <v>Defeat Crystalotl in The Battleground, accessed by Ultimate Key</v>
      </c>
      <c r="D61" s="115" t="str">
        <f>IFERROR(__xludf.DUMMYFUNCTION("""COMPUTED_VALUE"""),"Serena Magical Mending +100")</f>
        <v>Serena Magical Mending +100</v>
      </c>
    </row>
    <row r="62">
      <c r="A62" s="114" t="str">
        <f>IFERROR(__xludf.DUMMYFUNCTION("""COMPUTED_VALUE"""),"Wisdom of the Warrior King")</f>
        <v>Wisdom of the Warrior King</v>
      </c>
      <c r="B62" s="93" t="str">
        <f>IFERROR(__xludf.DUMMYFUNCTION("""COMPUTED_VALUE"""),"Havens Above")</f>
        <v>Havens Above</v>
      </c>
      <c r="C62" s="114" t="str">
        <f>IFERROR(__xludf.DUMMYFUNCTION("""COMPUTED_VALUE"""),"Gallopolis Prince Room, Royal Library, Promontor Cave, Heliodor Castle: Jasper Room")</f>
        <v>Gallopolis Prince Room, Royal Library, Promontor Cave, Heliodor Castle: Jasper Room</v>
      </c>
      <c r="D62" s="114" t="str">
        <f>IFERROR(__xludf.DUMMYFUNCTION("""COMPUTED_VALUE"""),"Blind Man's Biff upgraded")</f>
        <v>Blind Man's Biff upgraded</v>
      </c>
    </row>
    <row r="63">
      <c r="A63" s="115" t="str">
        <f>IFERROR(__xludf.DUMMYFUNCTION("""COMPUTED_VALUE"""),"Lost Lovers")</f>
        <v>Lost Lovers</v>
      </c>
      <c r="B63" s="96" t="str">
        <f>IFERROR(__xludf.DUMMYFUNCTION("""COMPUTED_VALUE"""),"Havens Above")</f>
        <v>Havens Above</v>
      </c>
      <c r="C63" s="115" t="str">
        <f>IFERROR(__xludf.DUMMYFUNCTION("""COMPUTED_VALUE"""),"Find Erdwin's Bracelet at Trial Isle in the Trial of Disciple - Crypts ")</f>
        <v>Find Erdwin's Bracelet at Trial Isle in the Trial of Disciple - Crypts </v>
      </c>
      <c r="D63" s="115" t="str">
        <f>IFERROR(__xludf.DUMMYFUNCTION("""COMPUTED_VALUE"""),"Luminary Sword abilities strengthened")</f>
        <v>Luminary Sword abilities strengthened</v>
      </c>
    </row>
  </sheetData>
  <mergeCells count="2">
    <mergeCell ref="A28:D28"/>
    <mergeCell ref="A50:D50"/>
  </mergeCells>
  <drawing r:id="rId1"/>
</worksheet>
</file>